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trlProps/ctrlProp2.xml" ContentType="application/vnd.ms-excel.controlpropertie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192.147.90.225\Dati\Dir_Ammin\DIRETTORE AMMINISTRATIVO\BRESCIA\Conto annuale\conto annuale 2024\tabella definitiva inviata rgs\"/>
    </mc:Choice>
  </mc:AlternateContent>
  <xr:revisionPtr revIDLastSave="0" documentId="13_ncr:1_{B08372F2-2F8F-4356-BD2C-EB10A1E8B369}" xr6:coauthVersionLast="47" xr6:coauthVersionMax="47" xr10:uidLastSave="{00000000-0000-0000-0000-000000000000}"/>
  <bookViews>
    <workbookView xWindow="-108" yWindow="-108" windowWidth="23256" windowHeight="12456" tabRatio="896" xr2:uid="{00000000-000D-0000-FFFF-FFFF00000000}"/>
  </bookViews>
  <sheets>
    <sheet name="SI_1" sheetId="47" r:id="rId1"/>
    <sheet name="t1" sheetId="2" r:id="rId2"/>
    <sheet name="1E" sheetId="73" r:id="rId3"/>
    <sheet name="t2" sheetId="79" r:id="rId4"/>
    <sheet name="t2A" sheetId="53" r:id="rId5"/>
    <sheet name="t3" sheetId="20" r:id="rId6"/>
    <sheet name="t4" sheetId="9" r:id="rId7"/>
    <sheet name="t5" sheetId="8" r:id="rId8"/>
    <sheet name="t6" sheetId="7" r:id="rId9"/>
    <sheet name="t7" sheetId="6" r:id="rId10"/>
    <sheet name="t8" sheetId="5" r:id="rId11"/>
    <sheet name="t9" sheetId="4" r:id="rId12"/>
    <sheet name="t11" sheetId="43" r:id="rId13"/>
    <sheet name="t12" sheetId="15" r:id="rId14"/>
    <sheet name="t13" sheetId="14" r:id="rId15"/>
    <sheet name="t14" sheetId="23" r:id="rId16"/>
    <sheet name="t15(1)" sheetId="71" r:id="rId17"/>
    <sheet name="SICI(1)" sheetId="74" r:id="rId18"/>
    <sheet name="Tabella Riconciliazione" sheetId="66" r:id="rId19"/>
    <sheet name="Valori Medi" sheetId="58" r:id="rId20"/>
    <sheet name="Squadratura 1" sheetId="31" r:id="rId21"/>
    <sheet name="Squadratura 2" sheetId="30" r:id="rId22"/>
    <sheet name="Squadratura 3" sheetId="32" r:id="rId23"/>
    <sheet name="Squadratura 4" sheetId="33" r:id="rId24"/>
    <sheet name="Squadratura 6" sheetId="75" r:id="rId25"/>
    <sheet name="Incongruenze 1 e 11" sheetId="35" r:id="rId26"/>
    <sheet name="Incongruenza 2" sheetId="29" r:id="rId27"/>
    <sheet name="Incongruenza 3" sheetId="78" r:id="rId28"/>
    <sheet name="Incongruenza 4 e controlli t14" sheetId="46" r:id="rId29"/>
    <sheet name="Incongruenza 5" sheetId="44" r:id="rId30"/>
    <sheet name="Incongruenza 6" sheetId="45" r:id="rId31"/>
    <sheet name="Incongruenza 7" sheetId="48" r:id="rId32"/>
    <sheet name="Incongruenza 8" sheetId="64" r:id="rId33"/>
    <sheet name="Incongruenza 10" sheetId="67" r:id="rId34"/>
    <sheet name="Incongruenze 12 e 13" sheetId="65" r:id="rId35"/>
    <sheet name="Incongruenza 14" sheetId="70" r:id="rId36"/>
    <sheet name="Incongruenza 15" sheetId="76" r:id="rId37"/>
  </sheets>
  <definedNames>
    <definedName name="_xlnm._FilterDatabase" localSheetId="10" hidden="1">'t8'!$A$3:$AB$18</definedName>
    <definedName name="_xlnm.Print_Area" localSheetId="2">'1E'!$A$1:$T$19</definedName>
    <definedName name="_xlnm.Print_Area" localSheetId="36">'Incongruenza 15'!$A$1:$D$5</definedName>
    <definedName name="_xlnm.Print_Area" localSheetId="27">'Incongruenza 3'!$A$1:$D$5</definedName>
    <definedName name="_xlnm.Print_Area" localSheetId="25">'Incongruenze 1 e 11'!$A$1:$E$21</definedName>
    <definedName name="_xlnm.Print_Area" localSheetId="34">'Incongruenze 12 e 13'!$A$1:$D$14</definedName>
    <definedName name="_xlnm.Print_Area" localSheetId="0">SI_1!$A$1:$H$221</definedName>
    <definedName name="_xlnm.Print_Area" localSheetId="17">'SICI(1)'!$A$1:$F$17</definedName>
    <definedName name="_xlnm.Print_Area" localSheetId="20">'Squadratura 1'!$A$1:$J$18</definedName>
    <definedName name="_xlnm.Print_Area" localSheetId="21">'Squadratura 2'!$A$1:$L$19</definedName>
    <definedName name="_xlnm.Print_Area" localSheetId="22">'Squadratura 3'!$A$1:$V$20</definedName>
    <definedName name="_xlnm.Print_Area" localSheetId="23">'Squadratura 4'!$A$1:$I$18</definedName>
    <definedName name="_xlnm.Print_Area" localSheetId="24">'Squadratura 6'!$A$1:$D$4</definedName>
    <definedName name="_xlnm.Print_Area" localSheetId="1">'t1'!$A$1:$AJ$21</definedName>
    <definedName name="_xlnm.Print_Area" localSheetId="12">'t11'!$A$1:$AV$21</definedName>
    <definedName name="_xlnm.Print_Area" localSheetId="13">'t12'!$A$1:$AI$22</definedName>
    <definedName name="_xlnm.Print_Area" localSheetId="14">'t13'!$A$1:$AT$21</definedName>
    <definedName name="_xlnm.Print_Area" localSheetId="15">'t14'!$A$1:$D$34</definedName>
    <definedName name="_xlnm.Print_Area" localSheetId="16">'t15(1)'!$A$1:$G$38</definedName>
    <definedName name="_xlnm.Print_Area" localSheetId="4">t2A!$A$1:$S$16</definedName>
    <definedName name="_xlnm.Print_Area" localSheetId="5">'t3'!$A$1:$P$21</definedName>
    <definedName name="_xlnm.Print_Area" localSheetId="6" xml:space="preserve">   't4'!$A$1:$O$29</definedName>
    <definedName name="_xlnm.Print_Area" localSheetId="7">'t5'!$A$1:$V$22</definedName>
    <definedName name="_xlnm.Print_Area" localSheetId="9">'t7'!$A$1:$X$20</definedName>
    <definedName name="_xlnm.Print_Area" localSheetId="10">'t8'!$A$1:$AB$21</definedName>
    <definedName name="_xlnm.Print_Area" localSheetId="11">'t9'!$A$1:$P$20</definedName>
    <definedName name="_xlnm.Print_Area" localSheetId="19">'Valori Medi'!$A$1:$T$20</definedName>
    <definedName name="CODI_ISTITUZIONE" localSheetId="17">#REF!</definedName>
    <definedName name="CODI_ISTITUZIONE">#REF!</definedName>
    <definedName name="CODI_ISTITUZIONE2" localSheetId="35">#REF!</definedName>
    <definedName name="CODI_ISTITUZIONE2" localSheetId="36">#REF!</definedName>
    <definedName name="CODI_ISTITUZIONE2" localSheetId="27">#REF!</definedName>
    <definedName name="CODI_ISTITUZIONE2" localSheetId="32">#REF!</definedName>
    <definedName name="CODI_ISTITUZIONE2" localSheetId="34">#REF!</definedName>
    <definedName name="CODI_ISTITUZIONE2" localSheetId="17">#REF!</definedName>
    <definedName name="CODI_ISTITUZIONE2" localSheetId="24">#REF!</definedName>
    <definedName name="CODI_ISTITUZIONE2">#REF!</definedName>
    <definedName name="DESC_ISTITUZIONE" localSheetId="17">#REF!</definedName>
    <definedName name="DESC_ISTITUZIONE">#REF!</definedName>
    <definedName name="DESC_ISTITUZIONE2" localSheetId="35">#REF!</definedName>
    <definedName name="DESC_ISTITUZIONE2" localSheetId="36">#REF!</definedName>
    <definedName name="DESC_ISTITUZIONE2" localSheetId="27">#REF!</definedName>
    <definedName name="DESC_ISTITUZIONE2" localSheetId="32">#REF!</definedName>
    <definedName name="DESC_ISTITUZIONE2" localSheetId="34">#REF!</definedName>
    <definedName name="DESC_ISTITUZIONE2" localSheetId="17">#REF!</definedName>
    <definedName name="DESC_ISTITUZIONE2" localSheetId="24">#REF!</definedName>
    <definedName name="DESC_ISTITUZIONE2">#REF!</definedName>
    <definedName name="_xlnm.Print_Titles" localSheetId="2">'1E'!$1:$6</definedName>
    <definedName name="_xlnm.Print_Titles" localSheetId="26">'Incongruenza 2'!$1:$5</definedName>
    <definedName name="_xlnm.Print_Titles" localSheetId="29">'Incongruenza 5'!$1:$5</definedName>
    <definedName name="_xlnm.Print_Titles" localSheetId="30">'Incongruenza 6'!$1:$5</definedName>
    <definedName name="_xlnm.Print_Titles" localSheetId="31">'Incongruenza 7'!$1:$4</definedName>
    <definedName name="_xlnm.Print_Titles" localSheetId="32">'Incongruenza 8'!$1:$5</definedName>
    <definedName name="_xlnm.Print_Titles" localSheetId="25">'Incongruenze 1 e 11'!$4:$4</definedName>
    <definedName name="_xlnm.Print_Titles" localSheetId="34">'Incongruenze 12 e 13'!$4:$4</definedName>
    <definedName name="_xlnm.Print_Titles" localSheetId="20">'Squadratura 1'!$1:$5</definedName>
    <definedName name="_xlnm.Print_Titles" localSheetId="21">'Squadratura 2'!$1:$6</definedName>
    <definedName name="_xlnm.Print_Titles" localSheetId="22">'Squadratura 3'!$A:$B,'Squadratura 3'!$1:$7</definedName>
    <definedName name="_xlnm.Print_Titles" localSheetId="23">'Squadratura 4'!$1:$5</definedName>
    <definedName name="_xlnm.Print_Titles" localSheetId="1">'t1'!$1:$5</definedName>
    <definedName name="_xlnm.Print_Titles" localSheetId="12">'t11'!$1:$7</definedName>
    <definedName name="_xlnm.Print_Titles" localSheetId="13">'t12'!$1:$5</definedName>
    <definedName name="_xlnm.Print_Titles" localSheetId="14">'t13'!$1:$5</definedName>
    <definedName name="_xlnm.Print_Titles" localSheetId="3">'t2'!$1:$5</definedName>
    <definedName name="_xlnm.Print_Titles" localSheetId="5">'t3'!$1:$5</definedName>
    <definedName name="_xlnm.Print_Titles" localSheetId="6">'t4'!$A:$B,'t4'!$1:$14</definedName>
    <definedName name="_xlnm.Print_Titles" localSheetId="7">'t5'!$1:$6</definedName>
    <definedName name="_xlnm.Print_Titles" localSheetId="8">'t6'!$1:$6</definedName>
    <definedName name="_xlnm.Print_Titles" localSheetId="9">'t7'!$1:$5</definedName>
    <definedName name="_xlnm.Print_Titles" localSheetId="10">'t8'!$1:$5</definedName>
    <definedName name="_xlnm.Print_Titles" localSheetId="11">'t9'!$1:$5</definedName>
    <definedName name="_xlnm.Print_Titles" localSheetId="19">'Valori Medi'!$A:$E,'Valori Medi'!$1:$5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66" l="1"/>
  <c r="B13" i="66"/>
  <c r="B9" i="66"/>
  <c r="B7" i="66"/>
  <c r="B8" i="66"/>
  <c r="AV19" i="43"/>
  <c r="AU19" i="43"/>
  <c r="AV18" i="43"/>
  <c r="AU18" i="43"/>
  <c r="AV17" i="43"/>
  <c r="AU17" i="43"/>
  <c r="AV16" i="43"/>
  <c r="AU16" i="43"/>
  <c r="AV15" i="43"/>
  <c r="AU15" i="43"/>
  <c r="AV14" i="43"/>
  <c r="AU14" i="43"/>
  <c r="AV13" i="43"/>
  <c r="AU13" i="43"/>
  <c r="AV12" i="43"/>
  <c r="AU12" i="43"/>
  <c r="AV11" i="43"/>
  <c r="AU11" i="43"/>
  <c r="AV10" i="43"/>
  <c r="AU10" i="43"/>
  <c r="AV9" i="43"/>
  <c r="AU9" i="43"/>
  <c r="AV8" i="43"/>
  <c r="AU8" i="43"/>
  <c r="A1" i="76" l="1"/>
  <c r="A1" i="78"/>
  <c r="A1" i="75"/>
  <c r="A6" i="74"/>
  <c r="A1" i="71"/>
  <c r="G17" i="74"/>
  <c r="N16" i="74"/>
  <c r="M16" i="74"/>
  <c r="L16" i="74"/>
  <c r="K16" i="74"/>
  <c r="G14" i="74"/>
  <c r="N13" i="74"/>
  <c r="M13" i="74"/>
  <c r="L13" i="74"/>
  <c r="K13" i="74"/>
  <c r="N8" i="74"/>
  <c r="C34" i="71"/>
  <c r="R33" i="71"/>
  <c r="Q33" i="71"/>
  <c r="R32" i="71"/>
  <c r="Q32" i="71"/>
  <c r="R31" i="71"/>
  <c r="Q31" i="71"/>
  <c r="R30" i="71"/>
  <c r="Q30" i="71"/>
  <c r="C28" i="71"/>
  <c r="R27" i="71"/>
  <c r="Q27" i="71"/>
  <c r="R26" i="71"/>
  <c r="Q26" i="71"/>
  <c r="R25" i="71"/>
  <c r="Q25" i="71"/>
  <c r="R24" i="71"/>
  <c r="Q24" i="71"/>
  <c r="R23" i="71"/>
  <c r="Q23" i="71"/>
  <c r="R22" i="71"/>
  <c r="Q22" i="71"/>
  <c r="H22" i="71"/>
  <c r="F226" i="47" s="1"/>
  <c r="R21" i="71"/>
  <c r="Q21" i="71"/>
  <c r="C19" i="71"/>
  <c r="R18" i="71"/>
  <c r="Q18" i="71"/>
  <c r="R17" i="71"/>
  <c r="Q17" i="71"/>
  <c r="R16" i="71"/>
  <c r="Q16" i="71"/>
  <c r="G16" i="71"/>
  <c r="G17" i="71" s="1"/>
  <c r="G36" i="71" s="1"/>
  <c r="W15" i="71"/>
  <c r="V15" i="71"/>
  <c r="R15" i="71"/>
  <c r="Q15" i="71"/>
  <c r="W14" i="71"/>
  <c r="V14" i="71"/>
  <c r="R14" i="71"/>
  <c r="Q14" i="71"/>
  <c r="W13" i="71"/>
  <c r="V13" i="71"/>
  <c r="R13" i="71"/>
  <c r="Q13" i="71"/>
  <c r="W12" i="71"/>
  <c r="V12" i="71"/>
  <c r="R12" i="71"/>
  <c r="Q12" i="71"/>
  <c r="W11" i="71"/>
  <c r="V11" i="71"/>
  <c r="R11" i="71"/>
  <c r="Q11" i="71"/>
  <c r="W10" i="71"/>
  <c r="V10" i="71"/>
  <c r="R10" i="71"/>
  <c r="Q10" i="71"/>
  <c r="W9" i="71"/>
  <c r="V9" i="71"/>
  <c r="R9" i="71"/>
  <c r="Q9" i="71"/>
  <c r="C35" i="71" l="1"/>
  <c r="H18" i="71"/>
  <c r="C36" i="71"/>
  <c r="C237" i="47" s="1"/>
  <c r="H17" i="71"/>
  <c r="H16" i="71"/>
  <c r="H19" i="71"/>
  <c r="K56" i="47"/>
  <c r="AO19" i="73"/>
  <c r="AP19" i="73"/>
  <c r="C8" i="73"/>
  <c r="D8" i="73"/>
  <c r="E8" i="73"/>
  <c r="F8" i="73"/>
  <c r="G8" i="73"/>
  <c r="H8" i="73"/>
  <c r="I8" i="73"/>
  <c r="J8" i="73"/>
  <c r="T8" i="73" s="1"/>
  <c r="K8" i="73"/>
  <c r="L8" i="73"/>
  <c r="M8" i="73"/>
  <c r="N8" i="73"/>
  <c r="O8" i="73"/>
  <c r="P8" i="73"/>
  <c r="Q8" i="73"/>
  <c r="R8" i="73"/>
  <c r="C9" i="73"/>
  <c r="D9" i="73"/>
  <c r="E9" i="73"/>
  <c r="F9" i="73"/>
  <c r="G9" i="73"/>
  <c r="H9" i="73"/>
  <c r="I9" i="73"/>
  <c r="S9" i="73" s="1"/>
  <c r="J9" i="73"/>
  <c r="K9" i="73"/>
  <c r="L9" i="73"/>
  <c r="M9" i="73"/>
  <c r="N9" i="73"/>
  <c r="O9" i="73"/>
  <c r="P9" i="73"/>
  <c r="Q9" i="73"/>
  <c r="R9" i="73"/>
  <c r="C10" i="73"/>
  <c r="D10" i="73"/>
  <c r="E10" i="73"/>
  <c r="F10" i="73"/>
  <c r="G10" i="73"/>
  <c r="H10" i="73"/>
  <c r="I10" i="73"/>
  <c r="J10" i="73"/>
  <c r="K10" i="73"/>
  <c r="L10" i="73"/>
  <c r="M10" i="73"/>
  <c r="N10" i="73"/>
  <c r="O10" i="73"/>
  <c r="P10" i="73"/>
  <c r="Q10" i="73"/>
  <c r="R10" i="73"/>
  <c r="C11" i="73"/>
  <c r="D11" i="73"/>
  <c r="E11" i="73"/>
  <c r="F11" i="73"/>
  <c r="F19" i="73" s="1"/>
  <c r="G11" i="73"/>
  <c r="H11" i="73"/>
  <c r="I11" i="73"/>
  <c r="J11" i="73"/>
  <c r="K11" i="73"/>
  <c r="L11" i="73"/>
  <c r="M11" i="73"/>
  <c r="N11" i="73"/>
  <c r="O11" i="73"/>
  <c r="P11" i="73"/>
  <c r="Q11" i="73"/>
  <c r="R11" i="73"/>
  <c r="C12" i="73"/>
  <c r="D12" i="73"/>
  <c r="E12" i="73"/>
  <c r="E19" i="73" s="1"/>
  <c r="F12" i="73"/>
  <c r="G12" i="73"/>
  <c r="H12" i="73"/>
  <c r="H19" i="73" s="1"/>
  <c r="I12" i="73"/>
  <c r="J12" i="73"/>
  <c r="K12" i="73"/>
  <c r="L12" i="73"/>
  <c r="M12" i="73"/>
  <c r="N12" i="73"/>
  <c r="O12" i="73"/>
  <c r="P12" i="73"/>
  <c r="Q12" i="73"/>
  <c r="R12" i="73"/>
  <c r="C13" i="73"/>
  <c r="D13" i="73"/>
  <c r="E13" i="73"/>
  <c r="F13" i="73"/>
  <c r="G13" i="73"/>
  <c r="H13" i="73"/>
  <c r="I13" i="73"/>
  <c r="J13" i="73"/>
  <c r="K13" i="73"/>
  <c r="L13" i="73"/>
  <c r="M13" i="73"/>
  <c r="N13" i="73"/>
  <c r="O13" i="73"/>
  <c r="P13" i="73"/>
  <c r="Q13" i="73"/>
  <c r="R13" i="73"/>
  <c r="C14" i="73"/>
  <c r="D14" i="73"/>
  <c r="E14" i="73"/>
  <c r="F14" i="73"/>
  <c r="G14" i="73"/>
  <c r="H14" i="73"/>
  <c r="I14" i="73"/>
  <c r="J14" i="73"/>
  <c r="T14" i="73" s="1"/>
  <c r="K14" i="73"/>
  <c r="L14" i="73"/>
  <c r="M14" i="73"/>
  <c r="N14" i="73"/>
  <c r="O14" i="73"/>
  <c r="P14" i="73"/>
  <c r="Q14" i="73"/>
  <c r="R14" i="73"/>
  <c r="C15" i="73"/>
  <c r="D15" i="73"/>
  <c r="E15" i="73"/>
  <c r="F15" i="73"/>
  <c r="G15" i="73"/>
  <c r="H15" i="73"/>
  <c r="I15" i="73"/>
  <c r="S15" i="73" s="1"/>
  <c r="J15" i="73"/>
  <c r="T15" i="73" s="1"/>
  <c r="K15" i="73"/>
  <c r="L15" i="73"/>
  <c r="M15" i="73"/>
  <c r="N15" i="73"/>
  <c r="O15" i="73"/>
  <c r="P15" i="73"/>
  <c r="Q15" i="73"/>
  <c r="R15" i="73"/>
  <c r="C16" i="73"/>
  <c r="D16" i="73"/>
  <c r="E16" i="73"/>
  <c r="F16" i="73"/>
  <c r="G16" i="73"/>
  <c r="H16" i="73"/>
  <c r="I16" i="73"/>
  <c r="S16" i="73" s="1"/>
  <c r="J16" i="73"/>
  <c r="K16" i="73"/>
  <c r="L16" i="73"/>
  <c r="M16" i="73"/>
  <c r="N16" i="73"/>
  <c r="O16" i="73"/>
  <c r="P16" i="73"/>
  <c r="Q16" i="73"/>
  <c r="R16" i="73"/>
  <c r="C17" i="73"/>
  <c r="D17" i="73"/>
  <c r="E17" i="73"/>
  <c r="F17" i="73"/>
  <c r="G17" i="73"/>
  <c r="H17" i="73"/>
  <c r="I17" i="73"/>
  <c r="S17" i="73" s="1"/>
  <c r="J17" i="73"/>
  <c r="K17" i="73"/>
  <c r="L17" i="73"/>
  <c r="M17" i="73"/>
  <c r="N17" i="73"/>
  <c r="O17" i="73"/>
  <c r="P17" i="73"/>
  <c r="Q17" i="73"/>
  <c r="R17" i="73"/>
  <c r="C18" i="73"/>
  <c r="D18" i="73"/>
  <c r="E18" i="73"/>
  <c r="F18" i="73"/>
  <c r="G18" i="73"/>
  <c r="H18" i="73"/>
  <c r="I18" i="73"/>
  <c r="J18" i="73"/>
  <c r="K18" i="73"/>
  <c r="L18" i="73"/>
  <c r="M18" i="73"/>
  <c r="N18" i="73"/>
  <c r="O18" i="73"/>
  <c r="P18" i="73"/>
  <c r="Q18" i="73"/>
  <c r="R18" i="73"/>
  <c r="D7" i="73"/>
  <c r="E7" i="73"/>
  <c r="F7" i="73"/>
  <c r="G7" i="73"/>
  <c r="H7" i="73"/>
  <c r="I7" i="73"/>
  <c r="J7" i="73"/>
  <c r="T7" i="73" s="1"/>
  <c r="K7" i="73"/>
  <c r="K19" i="73" s="1"/>
  <c r="L7" i="73"/>
  <c r="M7" i="73"/>
  <c r="M19" i="73" s="1"/>
  <c r="N7" i="73"/>
  <c r="O7" i="73"/>
  <c r="O19" i="73" s="1"/>
  <c r="P7" i="73"/>
  <c r="P19" i="73" s="1"/>
  <c r="Q7" i="73"/>
  <c r="R7" i="73"/>
  <c r="C7" i="73"/>
  <c r="AN19" i="73"/>
  <c r="AM19" i="73"/>
  <c r="AL19" i="73"/>
  <c r="AK19" i="73"/>
  <c r="AJ19" i="73"/>
  <c r="AI19" i="73"/>
  <c r="AH19" i="73"/>
  <c r="AG19" i="73"/>
  <c r="AF19" i="73"/>
  <c r="AE19" i="73"/>
  <c r="AD19" i="73"/>
  <c r="AC19" i="73"/>
  <c r="AB19" i="73"/>
  <c r="AA19" i="73"/>
  <c r="AR18" i="73"/>
  <c r="AQ18" i="73"/>
  <c r="AT18" i="73" s="1"/>
  <c r="AR17" i="73"/>
  <c r="AQ17" i="73"/>
  <c r="AR16" i="73"/>
  <c r="AQ16" i="73"/>
  <c r="AR15" i="73"/>
  <c r="AQ15" i="73"/>
  <c r="AR14" i="73"/>
  <c r="AQ14" i="73"/>
  <c r="AR13" i="73"/>
  <c r="AQ13" i="73"/>
  <c r="AR12" i="73"/>
  <c r="AQ12" i="73"/>
  <c r="AT12" i="73" s="1"/>
  <c r="AR11" i="73"/>
  <c r="AQ11" i="73"/>
  <c r="AR10" i="73"/>
  <c r="AQ10" i="73"/>
  <c r="AR9" i="73"/>
  <c r="AQ9" i="73"/>
  <c r="AR8" i="73"/>
  <c r="AQ8" i="73"/>
  <c r="AR7" i="73"/>
  <c r="AQ7" i="73"/>
  <c r="AQ5" i="73"/>
  <c r="S18" i="73"/>
  <c r="S10" i="73"/>
  <c r="S5" i="73"/>
  <c r="A12" i="67"/>
  <c r="T19" i="43"/>
  <c r="S19" i="43"/>
  <c r="T18" i="43"/>
  <c r="S18" i="43"/>
  <c r="T17" i="43"/>
  <c r="S17" i="43"/>
  <c r="T16" i="43"/>
  <c r="S16" i="43"/>
  <c r="T15" i="43"/>
  <c r="S15" i="43"/>
  <c r="T14" i="43"/>
  <c r="S14" i="43"/>
  <c r="T13" i="43"/>
  <c r="S13" i="43"/>
  <c r="T12" i="43"/>
  <c r="S12" i="43"/>
  <c r="T11" i="43"/>
  <c r="S11" i="43"/>
  <c r="T10" i="43"/>
  <c r="S10" i="43"/>
  <c r="T9" i="43"/>
  <c r="S9" i="43"/>
  <c r="T8" i="43"/>
  <c r="S8" i="43"/>
  <c r="W19" i="43"/>
  <c r="X18" i="43"/>
  <c r="W17" i="43"/>
  <c r="X16" i="43"/>
  <c r="C14" i="70" s="1"/>
  <c r="W16" i="43"/>
  <c r="W15" i="43"/>
  <c r="W14" i="43"/>
  <c r="W13" i="43"/>
  <c r="X12" i="43"/>
  <c r="W12" i="43"/>
  <c r="X11" i="43"/>
  <c r="W11" i="43"/>
  <c r="C9" i="70" s="1"/>
  <c r="D9" i="70" s="1"/>
  <c r="W9" i="43"/>
  <c r="W8" i="43"/>
  <c r="C6" i="48" s="1"/>
  <c r="AR20" i="43"/>
  <c r="AQ20" i="43"/>
  <c r="C13" i="53"/>
  <c r="C14" i="53"/>
  <c r="A13" i="53"/>
  <c r="A14" i="53"/>
  <c r="A12" i="53"/>
  <c r="C12" i="53"/>
  <c r="C7" i="67"/>
  <c r="A7" i="67"/>
  <c r="B7" i="67"/>
  <c r="A8" i="67"/>
  <c r="B8" i="67"/>
  <c r="B6" i="67"/>
  <c r="A6" i="67"/>
  <c r="AJ22" i="79"/>
  <c r="AI22" i="79"/>
  <c r="AH22" i="79"/>
  <c r="AG22" i="79"/>
  <c r="AF22" i="79"/>
  <c r="AE22" i="79"/>
  <c r="AD22" i="79"/>
  <c r="AC22" i="79"/>
  <c r="AB22" i="79"/>
  <c r="AA22" i="79"/>
  <c r="L21" i="79"/>
  <c r="K21" i="79"/>
  <c r="J21" i="79"/>
  <c r="I21" i="79"/>
  <c r="H21" i="79"/>
  <c r="G21" i="79"/>
  <c r="G22" i="79" s="1"/>
  <c r="F21" i="79"/>
  <c r="E21" i="79"/>
  <c r="D21" i="79"/>
  <c r="C21" i="79"/>
  <c r="L20" i="79"/>
  <c r="K20" i="79"/>
  <c r="J20" i="79"/>
  <c r="I20" i="79"/>
  <c r="H20" i="79"/>
  <c r="G20" i="79"/>
  <c r="F20" i="79"/>
  <c r="E20" i="79"/>
  <c r="D20" i="79"/>
  <c r="C20" i="79"/>
  <c r="L19" i="79"/>
  <c r="K19" i="79"/>
  <c r="K22" i="79" s="1"/>
  <c r="J19" i="79"/>
  <c r="I19" i="79"/>
  <c r="H19" i="79"/>
  <c r="G19" i="79"/>
  <c r="F19" i="79"/>
  <c r="E19" i="79"/>
  <c r="D19" i="79"/>
  <c r="C19" i="79"/>
  <c r="C22" i="79" s="1"/>
  <c r="AH9" i="79"/>
  <c r="AG9" i="79"/>
  <c r="AF9" i="79"/>
  <c r="AE9" i="79"/>
  <c r="AD9" i="79"/>
  <c r="AC9" i="79"/>
  <c r="AB9" i="79"/>
  <c r="AA9" i="79"/>
  <c r="J8" i="79"/>
  <c r="I8" i="79"/>
  <c r="H8" i="79"/>
  <c r="G8" i="79"/>
  <c r="F8" i="79"/>
  <c r="E8" i="79"/>
  <c r="D8" i="79"/>
  <c r="D8" i="67" s="1"/>
  <c r="C8" i="79"/>
  <c r="C8" i="67" s="1"/>
  <c r="J7" i="79"/>
  <c r="I7" i="79"/>
  <c r="H7" i="79"/>
  <c r="G7" i="79"/>
  <c r="F7" i="79"/>
  <c r="F9" i="79" s="1"/>
  <c r="E7" i="79"/>
  <c r="D7" i="79"/>
  <c r="D7" i="67" s="1"/>
  <c r="C7" i="79"/>
  <c r="J6" i="79"/>
  <c r="J9" i="79"/>
  <c r="I6" i="79"/>
  <c r="I9" i="79" s="1"/>
  <c r="B16" i="35" s="1"/>
  <c r="H6" i="79"/>
  <c r="H9" i="79"/>
  <c r="G6" i="79"/>
  <c r="G9" i="79" s="1"/>
  <c r="B15" i="35" s="1"/>
  <c r="F6" i="79"/>
  <c r="E6" i="79"/>
  <c r="E9" i="79" s="1"/>
  <c r="B14" i="35" s="1"/>
  <c r="E14" i="35" s="1"/>
  <c r="D6" i="79"/>
  <c r="D6" i="67" s="1"/>
  <c r="C6" i="79"/>
  <c r="C6" i="67" s="1"/>
  <c r="A7" i="30"/>
  <c r="B7" i="30"/>
  <c r="A8" i="30"/>
  <c r="B8" i="30"/>
  <c r="A9" i="30"/>
  <c r="B9" i="30"/>
  <c r="A10" i="30"/>
  <c r="B10" i="30"/>
  <c r="A11" i="30"/>
  <c r="B11" i="30"/>
  <c r="A12" i="30"/>
  <c r="B12" i="30"/>
  <c r="A13" i="30"/>
  <c r="B13" i="30"/>
  <c r="A14" i="30"/>
  <c r="B14" i="30"/>
  <c r="A15" i="30"/>
  <c r="B15" i="30"/>
  <c r="A16" i="30"/>
  <c r="B16" i="30"/>
  <c r="A17" i="30"/>
  <c r="B17" i="30"/>
  <c r="A18" i="30"/>
  <c r="B18" i="30"/>
  <c r="C238" i="47"/>
  <c r="A8" i="73"/>
  <c r="B8" i="73"/>
  <c r="A9" i="73"/>
  <c r="B9" i="73"/>
  <c r="A10" i="73"/>
  <c r="B10" i="73"/>
  <c r="A11" i="73"/>
  <c r="B11" i="73"/>
  <c r="A12" i="73"/>
  <c r="B12" i="73"/>
  <c r="A13" i="73"/>
  <c r="B13" i="73"/>
  <c r="A14" i="73"/>
  <c r="B14" i="73"/>
  <c r="A15" i="73"/>
  <c r="B15" i="73"/>
  <c r="A16" i="73"/>
  <c r="B16" i="73"/>
  <c r="A17" i="73"/>
  <c r="B17" i="73"/>
  <c r="A18" i="73"/>
  <c r="B18" i="73"/>
  <c r="X19" i="43"/>
  <c r="W18" i="43"/>
  <c r="X17" i="43"/>
  <c r="C15" i="48" s="1"/>
  <c r="X15" i="43"/>
  <c r="X14" i="43"/>
  <c r="X13" i="43"/>
  <c r="X10" i="43"/>
  <c r="W10" i="43"/>
  <c r="X9" i="43"/>
  <c r="X8" i="43"/>
  <c r="V18" i="8"/>
  <c r="U18" i="8"/>
  <c r="V17" i="8"/>
  <c r="U17" i="8"/>
  <c r="D16" i="33" s="1"/>
  <c r="V16" i="8"/>
  <c r="H15" i="48" s="1"/>
  <c r="U16" i="8"/>
  <c r="V15" i="8"/>
  <c r="U15" i="8"/>
  <c r="V14" i="8"/>
  <c r="U14" i="8"/>
  <c r="D13" i="33"/>
  <c r="V13" i="8"/>
  <c r="U13" i="8"/>
  <c r="V12" i="8"/>
  <c r="U12" i="8"/>
  <c r="V11" i="8"/>
  <c r="U11" i="8"/>
  <c r="V10" i="8"/>
  <c r="U10" i="8"/>
  <c r="V9" i="8"/>
  <c r="U9" i="8"/>
  <c r="V8" i="8"/>
  <c r="U8" i="8"/>
  <c r="V7" i="8"/>
  <c r="U7" i="8"/>
  <c r="D6" i="44" s="1"/>
  <c r="Q19" i="8"/>
  <c r="R19" i="8"/>
  <c r="S19" i="8"/>
  <c r="T19" i="8"/>
  <c r="AN17" i="15"/>
  <c r="AO17" i="15"/>
  <c r="AP17" i="15"/>
  <c r="AO10" i="15"/>
  <c r="AP10" i="15" s="1"/>
  <c r="AN10" i="15"/>
  <c r="AN6" i="15"/>
  <c r="AO6" i="15"/>
  <c r="AP6" i="15" s="1"/>
  <c r="AN7" i="15"/>
  <c r="AO7" i="15"/>
  <c r="AP7" i="15" s="1"/>
  <c r="AN8" i="15"/>
  <c r="AO8" i="15"/>
  <c r="AP8" i="15" s="1"/>
  <c r="AN9" i="15"/>
  <c r="AO9" i="15"/>
  <c r="AP9" i="15" s="1"/>
  <c r="AN11" i="15"/>
  <c r="AO11" i="15"/>
  <c r="AP11" i="15" s="1"/>
  <c r="AN12" i="15"/>
  <c r="AO12" i="15"/>
  <c r="AP12" i="15" s="1"/>
  <c r="AN13" i="15"/>
  <c r="AO13" i="15"/>
  <c r="AN14" i="15"/>
  <c r="AP14" i="15" s="1"/>
  <c r="AO14" i="15"/>
  <c r="AN15" i="15"/>
  <c r="AO15" i="15"/>
  <c r="AP15" i="15"/>
  <c r="AN16" i="15"/>
  <c r="AP16" i="15" s="1"/>
  <c r="AO16" i="15"/>
  <c r="V8" i="7"/>
  <c r="V9" i="7"/>
  <c r="V10" i="7"/>
  <c r="E9" i="31" s="1"/>
  <c r="V11" i="7"/>
  <c r="V12" i="7"/>
  <c r="V13" i="7"/>
  <c r="V14" i="7"/>
  <c r="V15" i="7"/>
  <c r="V16" i="7"/>
  <c r="V17" i="7"/>
  <c r="V18" i="7"/>
  <c r="V7" i="7"/>
  <c r="U8" i="7"/>
  <c r="U9" i="7"/>
  <c r="U10" i="7"/>
  <c r="U11" i="7"/>
  <c r="E10" i="31" s="1"/>
  <c r="U12" i="7"/>
  <c r="E11" i="33"/>
  <c r="U13" i="7"/>
  <c r="U14" i="7"/>
  <c r="U15" i="7"/>
  <c r="E14" i="33"/>
  <c r="U16" i="7"/>
  <c r="U17" i="7"/>
  <c r="E16" i="33"/>
  <c r="U18" i="7"/>
  <c r="E17" i="33" s="1"/>
  <c r="U7" i="7"/>
  <c r="B7" i="73"/>
  <c r="A7" i="73"/>
  <c r="D14" i="33"/>
  <c r="T19" i="7"/>
  <c r="S19" i="7"/>
  <c r="N19" i="73"/>
  <c r="L19" i="73"/>
  <c r="G19" i="73"/>
  <c r="A1" i="2"/>
  <c r="F7" i="15"/>
  <c r="F8" i="15"/>
  <c r="F9" i="15"/>
  <c r="K9" i="58" s="1"/>
  <c r="F10" i="15"/>
  <c r="F11" i="15"/>
  <c r="F12" i="15"/>
  <c r="F13" i="15"/>
  <c r="F14" i="15"/>
  <c r="F15" i="15"/>
  <c r="F16" i="15"/>
  <c r="F17" i="15"/>
  <c r="F6" i="15"/>
  <c r="AA4" i="2"/>
  <c r="AI4" i="2"/>
  <c r="K5" i="58"/>
  <c r="J7" i="15"/>
  <c r="AH8" i="15"/>
  <c r="J8" i="15" s="1"/>
  <c r="AH9" i="15"/>
  <c r="J9" i="15" s="1"/>
  <c r="AH10" i="15"/>
  <c r="J10" i="15" s="1"/>
  <c r="AH11" i="15"/>
  <c r="J11" i="15" s="1"/>
  <c r="AH12" i="15"/>
  <c r="J12" i="15" s="1"/>
  <c r="AH13" i="15"/>
  <c r="J13" i="15" s="1"/>
  <c r="AH14" i="15"/>
  <c r="J14" i="15" s="1"/>
  <c r="AH15" i="15"/>
  <c r="J15" i="15" s="1"/>
  <c r="AH16" i="15"/>
  <c r="J16" i="15" s="1"/>
  <c r="AH17" i="15"/>
  <c r="J17" i="15" s="1"/>
  <c r="AH6" i="15"/>
  <c r="J6" i="15" s="1"/>
  <c r="AD18" i="15"/>
  <c r="F17" i="70"/>
  <c r="F16" i="70"/>
  <c r="F15" i="70"/>
  <c r="F14" i="70"/>
  <c r="F13" i="70"/>
  <c r="F12" i="70"/>
  <c r="F11" i="70"/>
  <c r="F10" i="70"/>
  <c r="F9" i="70"/>
  <c r="F8" i="70"/>
  <c r="F7" i="70"/>
  <c r="F6" i="70"/>
  <c r="B17" i="70"/>
  <c r="A17" i="70"/>
  <c r="B16" i="70"/>
  <c r="A16" i="70"/>
  <c r="B15" i="70"/>
  <c r="A15" i="70"/>
  <c r="B14" i="70"/>
  <c r="A14" i="70"/>
  <c r="B13" i="70"/>
  <c r="A13" i="70"/>
  <c r="B12" i="70"/>
  <c r="A12" i="70"/>
  <c r="B11" i="70"/>
  <c r="A11" i="70"/>
  <c r="B10" i="70"/>
  <c r="A10" i="70"/>
  <c r="B9" i="70"/>
  <c r="A9" i="70"/>
  <c r="B8" i="70"/>
  <c r="A8" i="70"/>
  <c r="B7" i="70"/>
  <c r="A7" i="70"/>
  <c r="B6" i="70"/>
  <c r="A6" i="70"/>
  <c r="J7" i="14"/>
  <c r="J8" i="14"/>
  <c r="J9" i="14"/>
  <c r="J10" i="14"/>
  <c r="J11" i="14"/>
  <c r="J12" i="14"/>
  <c r="J13" i="14"/>
  <c r="J14" i="14"/>
  <c r="J15" i="14"/>
  <c r="J16" i="14"/>
  <c r="J17" i="14"/>
  <c r="J6" i="14"/>
  <c r="AH18" i="14"/>
  <c r="C17" i="15"/>
  <c r="C16" i="15"/>
  <c r="C15" i="15"/>
  <c r="C15" i="29" s="1"/>
  <c r="E15" i="29" s="1"/>
  <c r="G15" i="29" s="1"/>
  <c r="C14" i="15"/>
  <c r="C14" i="29" s="1"/>
  <c r="E14" i="29" s="1"/>
  <c r="C13" i="15"/>
  <c r="E13" i="58" s="1"/>
  <c r="N13" i="58" s="1"/>
  <c r="C12" i="15"/>
  <c r="C11" i="15"/>
  <c r="E11" i="70" s="1"/>
  <c r="C10" i="15"/>
  <c r="C9" i="15"/>
  <c r="D9" i="45" s="1"/>
  <c r="C8" i="15"/>
  <c r="E8" i="70" s="1"/>
  <c r="C7" i="15"/>
  <c r="E7" i="58" s="1"/>
  <c r="C6" i="15"/>
  <c r="E6" i="70" s="1"/>
  <c r="B20" i="65"/>
  <c r="C29" i="23"/>
  <c r="C28" i="23"/>
  <c r="C27" i="23"/>
  <c r="C26" i="23"/>
  <c r="C25" i="23"/>
  <c r="C24" i="23"/>
  <c r="C23" i="23"/>
  <c r="C22" i="23"/>
  <c r="C21" i="23"/>
  <c r="C20" i="23"/>
  <c r="C19" i="23"/>
  <c r="C18" i="23"/>
  <c r="C17" i="23"/>
  <c r="C16" i="23"/>
  <c r="C15" i="23"/>
  <c r="C14" i="23"/>
  <c r="C13" i="23"/>
  <c r="C12" i="23"/>
  <c r="C11" i="23"/>
  <c r="C10" i="23"/>
  <c r="C9" i="23"/>
  <c r="C8" i="23"/>
  <c r="C7" i="23"/>
  <c r="C6" i="23"/>
  <c r="C5" i="23"/>
  <c r="C4" i="23"/>
  <c r="T17" i="14"/>
  <c r="S17" i="14"/>
  <c r="G17" i="64" s="1"/>
  <c r="R17" i="14"/>
  <c r="D17" i="64" s="1"/>
  <c r="Q17" i="14"/>
  <c r="P17" i="14"/>
  <c r="O17" i="14"/>
  <c r="N17" i="14"/>
  <c r="M17" i="14"/>
  <c r="L17" i="14"/>
  <c r="K17" i="14"/>
  <c r="I17" i="14"/>
  <c r="H17" i="14"/>
  <c r="G17" i="14"/>
  <c r="F17" i="14"/>
  <c r="E17" i="14"/>
  <c r="D17" i="14"/>
  <c r="C17" i="14"/>
  <c r="T16" i="14"/>
  <c r="S16" i="14"/>
  <c r="G16" i="64" s="1"/>
  <c r="R16" i="14"/>
  <c r="D16" i="64" s="1"/>
  <c r="Q16" i="14"/>
  <c r="P16" i="14"/>
  <c r="O16" i="14"/>
  <c r="N16" i="14"/>
  <c r="M16" i="14"/>
  <c r="L16" i="14"/>
  <c r="K16" i="14"/>
  <c r="I16" i="14"/>
  <c r="H16" i="14"/>
  <c r="G16" i="14"/>
  <c r="F16" i="14"/>
  <c r="E16" i="14"/>
  <c r="D16" i="14"/>
  <c r="C16" i="14"/>
  <c r="T15" i="14"/>
  <c r="S15" i="14"/>
  <c r="G15" i="64" s="1"/>
  <c r="R15" i="14"/>
  <c r="Q15" i="14"/>
  <c r="P15" i="14"/>
  <c r="O15" i="14"/>
  <c r="N15" i="14"/>
  <c r="M15" i="14"/>
  <c r="L15" i="14"/>
  <c r="K15" i="14"/>
  <c r="I15" i="14"/>
  <c r="H15" i="14"/>
  <c r="G15" i="14"/>
  <c r="F15" i="14"/>
  <c r="E15" i="14"/>
  <c r="D15" i="14"/>
  <c r="C15" i="14"/>
  <c r="T14" i="14"/>
  <c r="S14" i="14"/>
  <c r="G14" i="64" s="1"/>
  <c r="R14" i="14"/>
  <c r="D14" i="64" s="1"/>
  <c r="Q14" i="14"/>
  <c r="P14" i="14"/>
  <c r="O14" i="14"/>
  <c r="N14" i="14"/>
  <c r="M14" i="14"/>
  <c r="L14" i="14"/>
  <c r="K14" i="14"/>
  <c r="I14" i="14"/>
  <c r="H14" i="14"/>
  <c r="G14" i="14"/>
  <c r="F14" i="14"/>
  <c r="E14" i="14"/>
  <c r="D14" i="14"/>
  <c r="C14" i="14"/>
  <c r="T13" i="14"/>
  <c r="S13" i="14"/>
  <c r="G13" i="64" s="1"/>
  <c r="R13" i="14"/>
  <c r="Q13" i="14"/>
  <c r="P13" i="14"/>
  <c r="O13" i="14"/>
  <c r="N13" i="14"/>
  <c r="M13" i="14"/>
  <c r="L13" i="14"/>
  <c r="K13" i="14"/>
  <c r="I13" i="14"/>
  <c r="H13" i="14"/>
  <c r="G13" i="14"/>
  <c r="F13" i="14"/>
  <c r="E13" i="14"/>
  <c r="D13" i="14"/>
  <c r="C13" i="14"/>
  <c r="T12" i="14"/>
  <c r="S12" i="14"/>
  <c r="G12" i="64" s="1"/>
  <c r="R12" i="14"/>
  <c r="D12" i="64" s="1"/>
  <c r="Q12" i="14"/>
  <c r="P12" i="14"/>
  <c r="O12" i="14"/>
  <c r="N12" i="14"/>
  <c r="M12" i="14"/>
  <c r="L12" i="14"/>
  <c r="K12" i="14"/>
  <c r="I12" i="14"/>
  <c r="H12" i="14"/>
  <c r="G12" i="14"/>
  <c r="F12" i="14"/>
  <c r="E12" i="14"/>
  <c r="D12" i="14"/>
  <c r="C12" i="14"/>
  <c r="T11" i="14"/>
  <c r="S11" i="14"/>
  <c r="G11" i="64" s="1"/>
  <c r="R11" i="14"/>
  <c r="D11" i="64" s="1"/>
  <c r="Q11" i="14"/>
  <c r="P11" i="14"/>
  <c r="O11" i="14"/>
  <c r="N11" i="14"/>
  <c r="M11" i="14"/>
  <c r="L11" i="14"/>
  <c r="K11" i="14"/>
  <c r="I11" i="14"/>
  <c r="H11" i="14"/>
  <c r="G11" i="14"/>
  <c r="F11" i="14"/>
  <c r="E11" i="14"/>
  <c r="D11" i="14"/>
  <c r="C11" i="14"/>
  <c r="T10" i="14"/>
  <c r="S10" i="14"/>
  <c r="G10" i="64" s="1"/>
  <c r="R10" i="14"/>
  <c r="D10" i="64" s="1"/>
  <c r="Q10" i="14"/>
  <c r="P10" i="14"/>
  <c r="O10" i="14"/>
  <c r="N10" i="14"/>
  <c r="M10" i="14"/>
  <c r="L10" i="14"/>
  <c r="K10" i="14"/>
  <c r="I10" i="14"/>
  <c r="H10" i="14"/>
  <c r="G10" i="14"/>
  <c r="F10" i="14"/>
  <c r="E10" i="14"/>
  <c r="D10" i="14"/>
  <c r="C10" i="14"/>
  <c r="T9" i="14"/>
  <c r="S9" i="14"/>
  <c r="R9" i="14"/>
  <c r="Q9" i="14"/>
  <c r="P9" i="14"/>
  <c r="O9" i="14"/>
  <c r="N9" i="14"/>
  <c r="M9" i="14"/>
  <c r="L9" i="14"/>
  <c r="K9" i="14"/>
  <c r="I9" i="14"/>
  <c r="H9" i="14"/>
  <c r="G9" i="14"/>
  <c r="F9" i="14"/>
  <c r="E9" i="14"/>
  <c r="D9" i="14"/>
  <c r="C9" i="14"/>
  <c r="T8" i="14"/>
  <c r="S8" i="14"/>
  <c r="R8" i="14"/>
  <c r="D8" i="64" s="1"/>
  <c r="Q8" i="14"/>
  <c r="Q6" i="14"/>
  <c r="Q7" i="14"/>
  <c r="P8" i="14"/>
  <c r="O8" i="14"/>
  <c r="N8" i="14"/>
  <c r="M8" i="14"/>
  <c r="L8" i="14"/>
  <c r="K8" i="14"/>
  <c r="I8" i="14"/>
  <c r="H8" i="14"/>
  <c r="G8" i="14"/>
  <c r="F8" i="14"/>
  <c r="E8" i="14"/>
  <c r="D8" i="14"/>
  <c r="C8" i="14"/>
  <c r="T7" i="14"/>
  <c r="S7" i="14"/>
  <c r="G7" i="64" s="1"/>
  <c r="R7" i="14"/>
  <c r="D7" i="64" s="1"/>
  <c r="P7" i="14"/>
  <c r="O7" i="14"/>
  <c r="N7" i="14"/>
  <c r="M7" i="14"/>
  <c r="L7" i="14"/>
  <c r="K7" i="14"/>
  <c r="I7" i="14"/>
  <c r="H7" i="14"/>
  <c r="G7" i="14"/>
  <c r="F7" i="14"/>
  <c r="E7" i="14"/>
  <c r="D7" i="14"/>
  <c r="C7" i="14"/>
  <c r="T6" i="14"/>
  <c r="S6" i="14"/>
  <c r="G6" i="64" s="1"/>
  <c r="R6" i="14"/>
  <c r="D6" i="64" s="1"/>
  <c r="P6" i="14"/>
  <c r="O6" i="14"/>
  <c r="N6" i="14"/>
  <c r="M6" i="14"/>
  <c r="L6" i="14"/>
  <c r="K6" i="14"/>
  <c r="I6" i="14"/>
  <c r="H6" i="14"/>
  <c r="G6" i="14"/>
  <c r="F6" i="14"/>
  <c r="E6" i="14"/>
  <c r="D6" i="14"/>
  <c r="C6" i="14"/>
  <c r="AR18" i="14"/>
  <c r="AQ18" i="14"/>
  <c r="AP18" i="14"/>
  <c r="AO18" i="14"/>
  <c r="AN18" i="14"/>
  <c r="AM18" i="14"/>
  <c r="AL18" i="14"/>
  <c r="AK18" i="14"/>
  <c r="AJ18" i="14"/>
  <c r="AI18" i="14"/>
  <c r="AG18" i="14"/>
  <c r="AF18" i="14"/>
  <c r="AE18" i="14"/>
  <c r="AD18" i="14"/>
  <c r="AC18" i="14"/>
  <c r="AB18" i="14"/>
  <c r="AA18" i="14"/>
  <c r="AT17" i="14"/>
  <c r="AS17" i="14"/>
  <c r="AT16" i="14"/>
  <c r="AS16" i="14"/>
  <c r="AT15" i="14"/>
  <c r="AS15" i="14"/>
  <c r="AT14" i="14"/>
  <c r="AS14" i="14"/>
  <c r="AT13" i="14"/>
  <c r="AS13" i="14"/>
  <c r="AT12" i="14"/>
  <c r="AS12" i="14"/>
  <c r="AT11" i="14"/>
  <c r="AS11" i="14"/>
  <c r="AT10" i="14"/>
  <c r="AS10" i="14"/>
  <c r="AT9" i="14"/>
  <c r="AS9" i="14"/>
  <c r="AT8" i="14"/>
  <c r="AS8" i="14"/>
  <c r="AT7" i="14"/>
  <c r="AS7" i="14"/>
  <c r="AT6" i="14"/>
  <c r="AS6" i="14"/>
  <c r="I17" i="15"/>
  <c r="H17" i="15"/>
  <c r="G17" i="15"/>
  <c r="E17" i="15"/>
  <c r="D17" i="15"/>
  <c r="D17" i="29" s="1"/>
  <c r="I16" i="15"/>
  <c r="H16" i="15"/>
  <c r="G16" i="15"/>
  <c r="E16" i="15"/>
  <c r="D16" i="15"/>
  <c r="D16" i="29" s="1"/>
  <c r="E16" i="29" s="1"/>
  <c r="G16" i="29" s="1"/>
  <c r="I15" i="15"/>
  <c r="H15" i="15"/>
  <c r="G15" i="15"/>
  <c r="E15" i="15"/>
  <c r="D15" i="15"/>
  <c r="I14" i="15"/>
  <c r="H14" i="15"/>
  <c r="G14" i="15"/>
  <c r="E14" i="15"/>
  <c r="D14" i="15"/>
  <c r="D14" i="29" s="1"/>
  <c r="I13" i="15"/>
  <c r="H13" i="15"/>
  <c r="G13" i="15"/>
  <c r="E13" i="15"/>
  <c r="D13" i="15"/>
  <c r="I12" i="15"/>
  <c r="H12" i="15"/>
  <c r="G12" i="15"/>
  <c r="E12" i="15"/>
  <c r="D12" i="15"/>
  <c r="D12" i="29" s="1"/>
  <c r="I11" i="15"/>
  <c r="H11" i="15"/>
  <c r="G11" i="15"/>
  <c r="E11" i="15"/>
  <c r="D11" i="15"/>
  <c r="D11" i="29" s="1"/>
  <c r="I10" i="15"/>
  <c r="H10" i="15"/>
  <c r="G10" i="15"/>
  <c r="E10" i="15"/>
  <c r="D10" i="15"/>
  <c r="I9" i="15"/>
  <c r="H9" i="15"/>
  <c r="G9" i="15"/>
  <c r="E9" i="15"/>
  <c r="D9" i="15"/>
  <c r="D9" i="29" s="1"/>
  <c r="I8" i="15"/>
  <c r="H8" i="15"/>
  <c r="G8" i="15"/>
  <c r="E8" i="15"/>
  <c r="D8" i="15"/>
  <c r="I7" i="15"/>
  <c r="H7" i="15"/>
  <c r="G7" i="15"/>
  <c r="E7" i="15"/>
  <c r="D7" i="15"/>
  <c r="D7" i="29" s="1"/>
  <c r="I6" i="15"/>
  <c r="H6" i="15"/>
  <c r="G6" i="15"/>
  <c r="E6" i="15"/>
  <c r="D6" i="15"/>
  <c r="AG18" i="15"/>
  <c r="AF18" i="15"/>
  <c r="AE18" i="15"/>
  <c r="AC18" i="15"/>
  <c r="AB18" i="15"/>
  <c r="AA18" i="15"/>
  <c r="V19" i="43"/>
  <c r="U19" i="43"/>
  <c r="R19" i="43"/>
  <c r="Q19" i="43"/>
  <c r="P19" i="43"/>
  <c r="O19" i="43"/>
  <c r="N19" i="43"/>
  <c r="M19" i="43"/>
  <c r="L19" i="43"/>
  <c r="K19" i="43"/>
  <c r="J19" i="43"/>
  <c r="I19" i="43"/>
  <c r="H19" i="43"/>
  <c r="G19" i="43"/>
  <c r="F19" i="43"/>
  <c r="E19" i="43"/>
  <c r="D19" i="43"/>
  <c r="C19" i="43"/>
  <c r="V18" i="43"/>
  <c r="U18" i="43"/>
  <c r="R18" i="43"/>
  <c r="Q18" i="43"/>
  <c r="P18" i="43"/>
  <c r="O18" i="43"/>
  <c r="N18" i="43"/>
  <c r="M18" i="43"/>
  <c r="L18" i="43"/>
  <c r="K18" i="43"/>
  <c r="J18" i="43"/>
  <c r="I18" i="43"/>
  <c r="H18" i="43"/>
  <c r="G18" i="43"/>
  <c r="F18" i="43"/>
  <c r="E18" i="43"/>
  <c r="D18" i="43"/>
  <c r="C18" i="43"/>
  <c r="V17" i="43"/>
  <c r="U17" i="43"/>
  <c r="R17" i="43"/>
  <c r="Q17" i="43"/>
  <c r="P17" i="43"/>
  <c r="O17" i="43"/>
  <c r="N17" i="43"/>
  <c r="M17" i="43"/>
  <c r="L17" i="43"/>
  <c r="K17" i="43"/>
  <c r="J17" i="43"/>
  <c r="I17" i="43"/>
  <c r="H17" i="43"/>
  <c r="G17" i="43"/>
  <c r="F17" i="43"/>
  <c r="E17" i="43"/>
  <c r="D17" i="43"/>
  <c r="C17" i="43"/>
  <c r="V16" i="43"/>
  <c r="U16" i="43"/>
  <c r="R16" i="43"/>
  <c r="Q16" i="43"/>
  <c r="P16" i="43"/>
  <c r="O16" i="43"/>
  <c r="N16" i="43"/>
  <c r="M16" i="43"/>
  <c r="L16" i="43"/>
  <c r="K16" i="43"/>
  <c r="J16" i="43"/>
  <c r="I16" i="43"/>
  <c r="H16" i="43"/>
  <c r="G16" i="43"/>
  <c r="F16" i="43"/>
  <c r="E16" i="43"/>
  <c r="D16" i="43"/>
  <c r="C16" i="43"/>
  <c r="V15" i="43"/>
  <c r="U15" i="43"/>
  <c r="R15" i="43"/>
  <c r="Q15" i="43"/>
  <c r="P15" i="43"/>
  <c r="O15" i="43"/>
  <c r="N15" i="43"/>
  <c r="M15" i="43"/>
  <c r="L15" i="43"/>
  <c r="K15" i="43"/>
  <c r="J15" i="43"/>
  <c r="I15" i="43"/>
  <c r="H15" i="43"/>
  <c r="G15" i="43"/>
  <c r="F15" i="43"/>
  <c r="E15" i="43"/>
  <c r="D15" i="43"/>
  <c r="C15" i="43"/>
  <c r="V14" i="43"/>
  <c r="U14" i="43"/>
  <c r="R14" i="43"/>
  <c r="Q14" i="43"/>
  <c r="P14" i="43"/>
  <c r="O14" i="43"/>
  <c r="N14" i="43"/>
  <c r="M14" i="43"/>
  <c r="L14" i="43"/>
  <c r="K14" i="43"/>
  <c r="J14" i="43"/>
  <c r="I14" i="43"/>
  <c r="H14" i="43"/>
  <c r="G14" i="43"/>
  <c r="F14" i="43"/>
  <c r="E14" i="43"/>
  <c r="D14" i="43"/>
  <c r="C14" i="43"/>
  <c r="V13" i="43"/>
  <c r="U13" i="43"/>
  <c r="R13" i="43"/>
  <c r="Q13" i="43"/>
  <c r="P13" i="43"/>
  <c r="O13" i="43"/>
  <c r="N13" i="43"/>
  <c r="M13" i="43"/>
  <c r="L13" i="43"/>
  <c r="K13" i="43"/>
  <c r="J13" i="43"/>
  <c r="I13" i="43"/>
  <c r="H13" i="43"/>
  <c r="G13" i="43"/>
  <c r="F13" i="43"/>
  <c r="E13" i="43"/>
  <c r="D13" i="43"/>
  <c r="C13" i="43"/>
  <c r="V12" i="43"/>
  <c r="U12" i="43"/>
  <c r="R12" i="43"/>
  <c r="Q12" i="43"/>
  <c r="P12" i="43"/>
  <c r="P8" i="43"/>
  <c r="P9" i="43"/>
  <c r="P10" i="43"/>
  <c r="P11" i="43"/>
  <c r="O12" i="43"/>
  <c r="N12" i="43"/>
  <c r="M12" i="43"/>
  <c r="L12" i="43"/>
  <c r="K12" i="43"/>
  <c r="J12" i="43"/>
  <c r="I12" i="43"/>
  <c r="H12" i="43"/>
  <c r="G12" i="43"/>
  <c r="F12" i="43"/>
  <c r="E12" i="43"/>
  <c r="D12" i="43"/>
  <c r="C12" i="43"/>
  <c r="V11" i="43"/>
  <c r="U11" i="43"/>
  <c r="R11" i="43"/>
  <c r="Q11" i="43"/>
  <c r="O11" i="43"/>
  <c r="N11" i="43"/>
  <c r="M11" i="43"/>
  <c r="L11" i="43"/>
  <c r="K11" i="43"/>
  <c r="J11" i="43"/>
  <c r="I11" i="43"/>
  <c r="H11" i="43"/>
  <c r="G11" i="43"/>
  <c r="F11" i="43"/>
  <c r="E11" i="43"/>
  <c r="D11" i="43"/>
  <c r="C11" i="43"/>
  <c r="V10" i="43"/>
  <c r="U10" i="43"/>
  <c r="R10" i="43"/>
  <c r="Q10" i="43"/>
  <c r="O10" i="43"/>
  <c r="N10" i="43"/>
  <c r="M10" i="43"/>
  <c r="L10" i="43"/>
  <c r="K10" i="43"/>
  <c r="J10" i="43"/>
  <c r="I10" i="43"/>
  <c r="H10" i="43"/>
  <c r="G10" i="43"/>
  <c r="F10" i="43"/>
  <c r="E10" i="43"/>
  <c r="D10" i="43"/>
  <c r="C10" i="43"/>
  <c r="V9" i="43"/>
  <c r="U9" i="43"/>
  <c r="R9" i="43"/>
  <c r="Q9" i="43"/>
  <c r="O9" i="43"/>
  <c r="O8" i="43"/>
  <c r="N9" i="43"/>
  <c r="M9" i="43"/>
  <c r="L9" i="43"/>
  <c r="K9" i="43"/>
  <c r="J9" i="43"/>
  <c r="I9" i="43"/>
  <c r="H9" i="43"/>
  <c r="G9" i="43"/>
  <c r="F9" i="43"/>
  <c r="E9" i="43"/>
  <c r="D9" i="43"/>
  <c r="C9" i="43"/>
  <c r="V8" i="43"/>
  <c r="U8" i="43"/>
  <c r="R8" i="43"/>
  <c r="Q8" i="43"/>
  <c r="N8" i="43"/>
  <c r="M8" i="43"/>
  <c r="L8" i="43"/>
  <c r="K8" i="43"/>
  <c r="J8" i="43"/>
  <c r="I8" i="43"/>
  <c r="H8" i="43"/>
  <c r="G8" i="43"/>
  <c r="F8" i="43"/>
  <c r="E8" i="43"/>
  <c r="D8" i="43"/>
  <c r="C8" i="43"/>
  <c r="AT20" i="43"/>
  <c r="AS20" i="43"/>
  <c r="AP20" i="43"/>
  <c r="AO20" i="43"/>
  <c r="AN20" i="43"/>
  <c r="AM20" i="43"/>
  <c r="AL20" i="43"/>
  <c r="AK20" i="43"/>
  <c r="AJ20" i="43"/>
  <c r="AI20" i="43"/>
  <c r="AH20" i="43"/>
  <c r="AG20" i="43"/>
  <c r="AF20" i="43"/>
  <c r="AE20" i="43"/>
  <c r="AD20" i="43"/>
  <c r="AC20" i="43"/>
  <c r="AB20" i="43"/>
  <c r="AA20" i="43"/>
  <c r="AW19" i="43"/>
  <c r="AW18" i="43"/>
  <c r="AW17" i="43"/>
  <c r="AW16" i="43"/>
  <c r="AW15" i="43"/>
  <c r="AW14" i="43"/>
  <c r="AW13" i="43"/>
  <c r="AW12" i="43"/>
  <c r="AW11" i="43"/>
  <c r="AW10" i="43"/>
  <c r="AW9" i="43"/>
  <c r="AW8" i="43"/>
  <c r="J17" i="2"/>
  <c r="I17" i="2"/>
  <c r="H17" i="2"/>
  <c r="G17" i="2"/>
  <c r="F17" i="2"/>
  <c r="E17" i="2"/>
  <c r="D17" i="2"/>
  <c r="C17" i="33" s="1"/>
  <c r="C17" i="2"/>
  <c r="J16" i="2"/>
  <c r="I16" i="2"/>
  <c r="H16" i="2"/>
  <c r="G16" i="2"/>
  <c r="F16" i="2"/>
  <c r="E16" i="2"/>
  <c r="D16" i="2"/>
  <c r="C16" i="33" s="1"/>
  <c r="C16" i="2"/>
  <c r="J15" i="2"/>
  <c r="I15" i="2"/>
  <c r="H15" i="2"/>
  <c r="G15" i="2"/>
  <c r="F15" i="2"/>
  <c r="E15" i="2"/>
  <c r="D15" i="2"/>
  <c r="C15" i="2"/>
  <c r="C15" i="33" s="1"/>
  <c r="J14" i="2"/>
  <c r="I14" i="2"/>
  <c r="H14" i="2"/>
  <c r="G14" i="2"/>
  <c r="F14" i="2"/>
  <c r="E14" i="2"/>
  <c r="D14" i="2"/>
  <c r="C14" i="33" s="1"/>
  <c r="C14" i="2"/>
  <c r="J13" i="2"/>
  <c r="I13" i="2"/>
  <c r="H13" i="2"/>
  <c r="G13" i="2"/>
  <c r="F13" i="2"/>
  <c r="E13" i="2"/>
  <c r="D13" i="2"/>
  <c r="C13" i="2"/>
  <c r="J12" i="2"/>
  <c r="I12" i="2"/>
  <c r="H12" i="2"/>
  <c r="G12" i="2"/>
  <c r="F12" i="2"/>
  <c r="E12" i="2"/>
  <c r="D12" i="2"/>
  <c r="C12" i="2"/>
  <c r="C12" i="33" s="1"/>
  <c r="J11" i="2"/>
  <c r="I11" i="2"/>
  <c r="H11" i="2"/>
  <c r="G11" i="2"/>
  <c r="F11" i="2"/>
  <c r="E11" i="2"/>
  <c r="D11" i="2"/>
  <c r="C11" i="31" s="1"/>
  <c r="C11" i="2"/>
  <c r="J10" i="2"/>
  <c r="I10" i="2"/>
  <c r="H10" i="2"/>
  <c r="G10" i="2"/>
  <c r="F10" i="2"/>
  <c r="E10" i="2"/>
  <c r="D10" i="2"/>
  <c r="C10" i="2"/>
  <c r="J9" i="2"/>
  <c r="I9" i="2"/>
  <c r="H9" i="2"/>
  <c r="G9" i="2"/>
  <c r="F9" i="2"/>
  <c r="E9" i="2"/>
  <c r="D9" i="2"/>
  <c r="C9" i="2"/>
  <c r="C9" i="31" s="1"/>
  <c r="J8" i="2"/>
  <c r="I8" i="2"/>
  <c r="H8" i="2"/>
  <c r="G8" i="2"/>
  <c r="F8" i="2"/>
  <c r="E8" i="2"/>
  <c r="D8" i="2"/>
  <c r="C8" i="2"/>
  <c r="J7" i="2"/>
  <c r="J18" i="2" s="1"/>
  <c r="I7" i="2"/>
  <c r="H7" i="2"/>
  <c r="G7" i="2"/>
  <c r="F7" i="2"/>
  <c r="E7" i="2"/>
  <c r="D7" i="2"/>
  <c r="C7" i="2"/>
  <c r="J6" i="2"/>
  <c r="I6" i="2"/>
  <c r="H6" i="2"/>
  <c r="G6" i="2"/>
  <c r="G18" i="2" s="1"/>
  <c r="F6" i="2"/>
  <c r="E6" i="2"/>
  <c r="D6" i="2"/>
  <c r="C6" i="2"/>
  <c r="AH18" i="2"/>
  <c r="AG18" i="2"/>
  <c r="AF18" i="2"/>
  <c r="AE18" i="2"/>
  <c r="AD18" i="2"/>
  <c r="AC18" i="2"/>
  <c r="AB18" i="2"/>
  <c r="AA18" i="2"/>
  <c r="AJ17" i="2"/>
  <c r="AI17" i="2"/>
  <c r="K17" i="2" s="1"/>
  <c r="AJ16" i="2"/>
  <c r="L16" i="2" s="1"/>
  <c r="AI16" i="2"/>
  <c r="AJ15" i="2"/>
  <c r="AI15" i="2"/>
  <c r="AJ14" i="2"/>
  <c r="L14" i="2"/>
  <c r="M16" i="32" s="1"/>
  <c r="V16" i="32" s="1"/>
  <c r="AI14" i="2"/>
  <c r="AJ13" i="2"/>
  <c r="AI13" i="2"/>
  <c r="AT14" i="73" s="1"/>
  <c r="AJ12" i="2"/>
  <c r="AI12" i="2"/>
  <c r="AJ11" i="2"/>
  <c r="L11" i="2" s="1"/>
  <c r="AI11" i="2"/>
  <c r="K11" i="2"/>
  <c r="C12" i="30" s="1"/>
  <c r="AI11" i="15"/>
  <c r="AJ10" i="2"/>
  <c r="L10" i="2" s="1"/>
  <c r="M12" i="32" s="1"/>
  <c r="AI10" i="2"/>
  <c r="K10" i="2" s="1"/>
  <c r="AI10" i="15"/>
  <c r="AJ9" i="2"/>
  <c r="L9" i="2"/>
  <c r="AI9" i="2"/>
  <c r="AT10" i="73" s="1"/>
  <c r="AI9" i="15"/>
  <c r="AJ8" i="2"/>
  <c r="L8" i="2" s="1"/>
  <c r="H9" i="30" s="1"/>
  <c r="AI8" i="2"/>
  <c r="AJ7" i="2"/>
  <c r="AU8" i="73" s="1"/>
  <c r="L7" i="2"/>
  <c r="AI7" i="2"/>
  <c r="K7" i="2"/>
  <c r="C9" i="32" s="1"/>
  <c r="AJ6" i="2"/>
  <c r="AI6" i="2"/>
  <c r="K6" i="2" s="1"/>
  <c r="K33" i="47"/>
  <c r="H8" i="67"/>
  <c r="G8" i="67"/>
  <c r="I8" i="67" s="1"/>
  <c r="H7" i="67"/>
  <c r="G7" i="67"/>
  <c r="H6" i="67"/>
  <c r="G6" i="67"/>
  <c r="G9" i="67" s="1"/>
  <c r="K211" i="47"/>
  <c r="B22" i="66"/>
  <c r="A3" i="32"/>
  <c r="A30" i="23"/>
  <c r="E8" i="31"/>
  <c r="R19" i="7"/>
  <c r="Q19" i="7"/>
  <c r="D10" i="33"/>
  <c r="D7" i="33"/>
  <c r="N19" i="8"/>
  <c r="M19" i="8"/>
  <c r="A20" i="2"/>
  <c r="E35" i="23"/>
  <c r="E32" i="23"/>
  <c r="B30" i="66"/>
  <c r="B27" i="66"/>
  <c r="B25" i="66"/>
  <c r="B23" i="66"/>
  <c r="B19" i="66"/>
  <c r="B16" i="66"/>
  <c r="B15" i="66"/>
  <c r="B6" i="66"/>
  <c r="C28" i="66"/>
  <c r="C31" i="66" s="1"/>
  <c r="A14" i="65"/>
  <c r="A13" i="65"/>
  <c r="B14" i="65"/>
  <c r="B13" i="65"/>
  <c r="B7" i="65"/>
  <c r="B6" i="65"/>
  <c r="B5" i="65"/>
  <c r="A7" i="65"/>
  <c r="A6" i="65"/>
  <c r="A5" i="65"/>
  <c r="B2" i="23"/>
  <c r="A19" i="58"/>
  <c r="B20" i="35"/>
  <c r="C20" i="35"/>
  <c r="A20" i="35"/>
  <c r="C19" i="35"/>
  <c r="B19" i="35"/>
  <c r="A19" i="35"/>
  <c r="D15" i="64"/>
  <c r="D13" i="64"/>
  <c r="G9" i="64"/>
  <c r="G8" i="64"/>
  <c r="B17" i="64"/>
  <c r="A17" i="64"/>
  <c r="B16" i="64"/>
  <c r="A16" i="64"/>
  <c r="B15" i="64"/>
  <c r="A15" i="64"/>
  <c r="B14" i="64"/>
  <c r="A14" i="64"/>
  <c r="B13" i="64"/>
  <c r="A13" i="64"/>
  <c r="B12" i="64"/>
  <c r="A12" i="64"/>
  <c r="B11" i="64"/>
  <c r="A11" i="64"/>
  <c r="B10" i="64"/>
  <c r="A10" i="64"/>
  <c r="B9" i="64"/>
  <c r="A9" i="64"/>
  <c r="B8" i="64"/>
  <c r="A8" i="64"/>
  <c r="B7" i="64"/>
  <c r="A7" i="64"/>
  <c r="B6" i="64"/>
  <c r="A6" i="64"/>
  <c r="C27" i="46"/>
  <c r="C28" i="46"/>
  <c r="C29" i="46"/>
  <c r="C30" i="46"/>
  <c r="B27" i="46"/>
  <c r="B28" i="46"/>
  <c r="B29" i="46"/>
  <c r="B30" i="46"/>
  <c r="A27" i="46"/>
  <c r="A28" i="46"/>
  <c r="A29" i="46"/>
  <c r="A30" i="46"/>
  <c r="P19" i="8"/>
  <c r="O19" i="8"/>
  <c r="AB17" i="5"/>
  <c r="J18" i="30" s="1"/>
  <c r="AA17" i="5"/>
  <c r="E18" i="30" s="1"/>
  <c r="AB16" i="5"/>
  <c r="J17" i="30" s="1"/>
  <c r="AA16" i="5"/>
  <c r="E17" i="30" s="1"/>
  <c r="AB15" i="5"/>
  <c r="J16" i="30"/>
  <c r="AA15" i="5"/>
  <c r="E16" i="30"/>
  <c r="AB14" i="5"/>
  <c r="J15" i="30" s="1"/>
  <c r="AA14" i="5"/>
  <c r="E15" i="30"/>
  <c r="AB13" i="5"/>
  <c r="AA13" i="5"/>
  <c r="E14" i="30" s="1"/>
  <c r="AB12" i="5"/>
  <c r="J13" i="30" s="1"/>
  <c r="AA12" i="5"/>
  <c r="E13" i="30" s="1"/>
  <c r="AB11" i="5"/>
  <c r="J12" i="30" s="1"/>
  <c r="AA11" i="5"/>
  <c r="E12" i="30"/>
  <c r="AB10" i="5"/>
  <c r="J11" i="30" s="1"/>
  <c r="AA10" i="5"/>
  <c r="AB9" i="5"/>
  <c r="AA9" i="5"/>
  <c r="E10" i="30" s="1"/>
  <c r="AB8" i="5"/>
  <c r="AA8" i="5"/>
  <c r="E9" i="30"/>
  <c r="AB7" i="5"/>
  <c r="AA7" i="5"/>
  <c r="E8" i="30" s="1"/>
  <c r="AB6" i="5"/>
  <c r="J7" i="30" s="1"/>
  <c r="AA6" i="5"/>
  <c r="E7" i="30" s="1"/>
  <c r="X18" i="5"/>
  <c r="W18" i="5"/>
  <c r="X17" i="6"/>
  <c r="I18" i="30" s="1"/>
  <c r="W17" i="6"/>
  <c r="X16" i="6"/>
  <c r="I17" i="30" s="1"/>
  <c r="W16" i="6"/>
  <c r="D17" i="30" s="1"/>
  <c r="X15" i="6"/>
  <c r="I16" i="30" s="1"/>
  <c r="W15" i="6"/>
  <c r="X14" i="6"/>
  <c r="I15" i="30" s="1"/>
  <c r="W14" i="6"/>
  <c r="D15" i="30"/>
  <c r="X13" i="6"/>
  <c r="W13" i="6"/>
  <c r="D14" i="30" s="1"/>
  <c r="X12" i="6"/>
  <c r="I13" i="30" s="1"/>
  <c r="W12" i="6"/>
  <c r="D13" i="30" s="1"/>
  <c r="X11" i="6"/>
  <c r="I12" i="30" s="1"/>
  <c r="W11" i="6"/>
  <c r="D12" i="30" s="1"/>
  <c r="X10" i="6"/>
  <c r="I11" i="30" s="1"/>
  <c r="W10" i="6"/>
  <c r="X9" i="6"/>
  <c r="I10" i="30" s="1"/>
  <c r="W9" i="6"/>
  <c r="D10" i="30" s="1"/>
  <c r="X8" i="6"/>
  <c r="W8" i="6"/>
  <c r="D9" i="30"/>
  <c r="X7" i="6"/>
  <c r="W7" i="6"/>
  <c r="D8" i="30" s="1"/>
  <c r="X6" i="6"/>
  <c r="I7" i="30" s="1"/>
  <c r="W6" i="6"/>
  <c r="D7" i="30" s="1"/>
  <c r="T18" i="6"/>
  <c r="S18" i="6"/>
  <c r="C7" i="35"/>
  <c r="B7" i="35"/>
  <c r="T19" i="32"/>
  <c r="T18" i="32"/>
  <c r="T17" i="32"/>
  <c r="T16" i="32"/>
  <c r="T15" i="32"/>
  <c r="T14" i="32"/>
  <c r="T13" i="32"/>
  <c r="T8" i="32"/>
  <c r="T9" i="32"/>
  <c r="T10" i="32"/>
  <c r="T11" i="32"/>
  <c r="T12" i="32"/>
  <c r="J19" i="32"/>
  <c r="J18" i="32"/>
  <c r="J17" i="32"/>
  <c r="J16" i="32"/>
  <c r="J15" i="32"/>
  <c r="J14" i="32"/>
  <c r="J13" i="32"/>
  <c r="J12" i="32"/>
  <c r="J11" i="32"/>
  <c r="J8" i="32"/>
  <c r="J9" i="32"/>
  <c r="J10" i="32"/>
  <c r="E16" i="46"/>
  <c r="E14" i="46"/>
  <c r="E15" i="46"/>
  <c r="C16" i="46"/>
  <c r="G16" i="46" s="1"/>
  <c r="B16" i="46"/>
  <c r="A16" i="46"/>
  <c r="K23" i="47"/>
  <c r="K24" i="47"/>
  <c r="K25" i="47"/>
  <c r="K26" i="47"/>
  <c r="K22" i="47"/>
  <c r="A6" i="48"/>
  <c r="B6" i="48"/>
  <c r="E6" i="48"/>
  <c r="A7" i="48"/>
  <c r="B7" i="48"/>
  <c r="E7" i="48"/>
  <c r="A8" i="48"/>
  <c r="B8" i="48"/>
  <c r="E8" i="48"/>
  <c r="A9" i="48"/>
  <c r="B9" i="48"/>
  <c r="E9" i="48"/>
  <c r="A10" i="48"/>
  <c r="B10" i="48"/>
  <c r="E10" i="48"/>
  <c r="A11" i="48"/>
  <c r="B11" i="48"/>
  <c r="E11" i="48"/>
  <c r="A12" i="48"/>
  <c r="B12" i="48"/>
  <c r="E12" i="48"/>
  <c r="A13" i="48"/>
  <c r="B13" i="48"/>
  <c r="E13" i="48"/>
  <c r="A14" i="48"/>
  <c r="B14" i="48"/>
  <c r="E14" i="48"/>
  <c r="A15" i="48"/>
  <c r="B15" i="48"/>
  <c r="E15" i="48"/>
  <c r="A16" i="48"/>
  <c r="B16" i="48"/>
  <c r="E16" i="48"/>
  <c r="A17" i="48"/>
  <c r="B17" i="48"/>
  <c r="E17" i="48"/>
  <c r="A6" i="45"/>
  <c r="B6" i="45"/>
  <c r="A7" i="45"/>
  <c r="B7" i="45"/>
  <c r="D7" i="45"/>
  <c r="A8" i="45"/>
  <c r="B8" i="45"/>
  <c r="D8" i="45"/>
  <c r="A9" i="45"/>
  <c r="B9" i="45"/>
  <c r="A10" i="45"/>
  <c r="B10" i="45"/>
  <c r="A11" i="45"/>
  <c r="B11" i="45"/>
  <c r="A12" i="45"/>
  <c r="B12" i="45"/>
  <c r="A13" i="45"/>
  <c r="B13" i="45"/>
  <c r="A14" i="45"/>
  <c r="B14" i="45"/>
  <c r="A15" i="45"/>
  <c r="B15" i="45"/>
  <c r="A16" i="45"/>
  <c r="B16" i="45"/>
  <c r="A17" i="45"/>
  <c r="B17" i="45"/>
  <c r="C4" i="44"/>
  <c r="A6" i="44"/>
  <c r="B6" i="44"/>
  <c r="A7" i="44"/>
  <c r="B7" i="44"/>
  <c r="A8" i="44"/>
  <c r="B8" i="44"/>
  <c r="F8" i="44"/>
  <c r="A9" i="44"/>
  <c r="B9" i="44"/>
  <c r="A10" i="44"/>
  <c r="B10" i="44"/>
  <c r="A11" i="44"/>
  <c r="B11" i="44"/>
  <c r="A12" i="44"/>
  <c r="B12" i="44"/>
  <c r="A13" i="44"/>
  <c r="B13" i="44"/>
  <c r="A14" i="44"/>
  <c r="B14" i="44"/>
  <c r="A15" i="44"/>
  <c r="B15" i="44"/>
  <c r="A16" i="44"/>
  <c r="B16" i="44"/>
  <c r="A17" i="44"/>
  <c r="B17" i="44"/>
  <c r="A6" i="46"/>
  <c r="B6" i="46"/>
  <c r="C6" i="46"/>
  <c r="A7" i="46"/>
  <c r="B7" i="46"/>
  <c r="C7" i="46"/>
  <c r="A8" i="46"/>
  <c r="B8" i="46"/>
  <c r="C8" i="46"/>
  <c r="A9" i="46"/>
  <c r="B9" i="46"/>
  <c r="C9" i="46"/>
  <c r="A10" i="46"/>
  <c r="B10" i="46"/>
  <c r="C10" i="46"/>
  <c r="A11" i="46"/>
  <c r="B11" i="46"/>
  <c r="C11" i="46"/>
  <c r="A12" i="46"/>
  <c r="B12" i="46"/>
  <c r="C12" i="46"/>
  <c r="A13" i="46"/>
  <c r="B13" i="46"/>
  <c r="C13" i="46"/>
  <c r="A14" i="46"/>
  <c r="B14" i="46"/>
  <c r="C14" i="46"/>
  <c r="G14" i="46" s="1"/>
  <c r="A15" i="46"/>
  <c r="B15" i="46"/>
  <c r="C15" i="46"/>
  <c r="G15" i="46" s="1"/>
  <c r="A17" i="46"/>
  <c r="B17" i="46"/>
  <c r="C17" i="46"/>
  <c r="A18" i="46"/>
  <c r="B18" i="46"/>
  <c r="C18" i="46"/>
  <c r="A19" i="46"/>
  <c r="B19" i="46"/>
  <c r="C19" i="46"/>
  <c r="A20" i="46"/>
  <c r="B20" i="46"/>
  <c r="C20" i="46"/>
  <c r="A21" i="46"/>
  <c r="B21" i="46"/>
  <c r="C21" i="46"/>
  <c r="A22" i="46"/>
  <c r="B22" i="46"/>
  <c r="C22" i="46"/>
  <c r="A23" i="46"/>
  <c r="B23" i="46"/>
  <c r="C23" i="46"/>
  <c r="A24" i="46"/>
  <c r="B24" i="46"/>
  <c r="C24" i="46"/>
  <c r="E12" i="46" s="1"/>
  <c r="A25" i="46"/>
  <c r="B25" i="46"/>
  <c r="C25" i="46"/>
  <c r="A26" i="46"/>
  <c r="B26" i="46"/>
  <c r="C26" i="46"/>
  <c r="A6" i="29"/>
  <c r="B6" i="29"/>
  <c r="A7" i="29"/>
  <c r="B7" i="29"/>
  <c r="A8" i="29"/>
  <c r="B8" i="29"/>
  <c r="A9" i="29"/>
  <c r="B9" i="29"/>
  <c r="A10" i="29"/>
  <c r="B10" i="29"/>
  <c r="D10" i="29"/>
  <c r="A11" i="29"/>
  <c r="B11" i="29"/>
  <c r="A12" i="29"/>
  <c r="B12" i="29"/>
  <c r="A13" i="29"/>
  <c r="B13" i="29"/>
  <c r="D13" i="29"/>
  <c r="A14" i="29"/>
  <c r="B14" i="29"/>
  <c r="A15" i="29"/>
  <c r="B15" i="29"/>
  <c r="A16" i="29"/>
  <c r="B16" i="29"/>
  <c r="A17" i="29"/>
  <c r="B17" i="29"/>
  <c r="C13" i="35"/>
  <c r="C14" i="35"/>
  <c r="C15" i="35"/>
  <c r="C16" i="35"/>
  <c r="B5" i="35"/>
  <c r="C5" i="35"/>
  <c r="B6" i="35"/>
  <c r="E6" i="35" s="1"/>
  <c r="C6" i="35"/>
  <c r="C4" i="33"/>
  <c r="A6" i="33"/>
  <c r="B6" i="33"/>
  <c r="A7" i="33"/>
  <c r="B7" i="33"/>
  <c r="A8" i="33"/>
  <c r="B8" i="33"/>
  <c r="A9" i="33"/>
  <c r="B9" i="33"/>
  <c r="A10" i="33"/>
  <c r="B10" i="33"/>
  <c r="A11" i="33"/>
  <c r="B11" i="33"/>
  <c r="A12" i="33"/>
  <c r="B12" i="33"/>
  <c r="A13" i="33"/>
  <c r="B13" i="33"/>
  <c r="A14" i="33"/>
  <c r="B14" i="33"/>
  <c r="A15" i="33"/>
  <c r="B15" i="33"/>
  <c r="A16" i="33"/>
  <c r="B16" i="33"/>
  <c r="A17" i="33"/>
  <c r="B17" i="33"/>
  <c r="A18" i="33"/>
  <c r="C6" i="32"/>
  <c r="M6" i="32"/>
  <c r="A8" i="32"/>
  <c r="B8" i="32"/>
  <c r="D8" i="32"/>
  <c r="E8" i="32"/>
  <c r="F8" i="32"/>
  <c r="F9" i="32"/>
  <c r="F10" i="32"/>
  <c r="F20" i="32"/>
  <c r="F11" i="32"/>
  <c r="F12" i="32"/>
  <c r="F13" i="32"/>
  <c r="F14" i="32"/>
  <c r="F15" i="32"/>
  <c r="F16" i="32"/>
  <c r="F17" i="32"/>
  <c r="F18" i="32"/>
  <c r="F19" i="32"/>
  <c r="G8" i="32"/>
  <c r="H8" i="32"/>
  <c r="I8" i="32"/>
  <c r="N8" i="32"/>
  <c r="N20" i="32" s="1"/>
  <c r="O8" i="32"/>
  <c r="P8" i="32"/>
  <c r="P9" i="32"/>
  <c r="P20" i="32" s="1"/>
  <c r="P10" i="32"/>
  <c r="P11" i="32"/>
  <c r="P12" i="32"/>
  <c r="P13" i="32"/>
  <c r="P14" i="32"/>
  <c r="P15" i="32"/>
  <c r="P16" i="32"/>
  <c r="P17" i="32"/>
  <c r="P18" i="32"/>
  <c r="P19" i="32"/>
  <c r="Q8" i="32"/>
  <c r="R8" i="32"/>
  <c r="S8" i="32"/>
  <c r="A9" i="32"/>
  <c r="B9" i="32"/>
  <c r="D9" i="32"/>
  <c r="E9" i="32"/>
  <c r="G9" i="32"/>
  <c r="G10" i="32"/>
  <c r="G11" i="32"/>
  <c r="G12" i="32"/>
  <c r="G13" i="32"/>
  <c r="G14" i="32"/>
  <c r="G15" i="32"/>
  <c r="G16" i="32"/>
  <c r="G17" i="32"/>
  <c r="G18" i="32"/>
  <c r="G19" i="32"/>
  <c r="H9" i="32"/>
  <c r="I9" i="32"/>
  <c r="N9" i="32"/>
  <c r="O9" i="32"/>
  <c r="O10" i="32"/>
  <c r="O11" i="32"/>
  <c r="O12" i="32"/>
  <c r="O13" i="32"/>
  <c r="O14" i="32"/>
  <c r="O15" i="32"/>
  <c r="O16" i="32"/>
  <c r="O17" i="32"/>
  <c r="O18" i="32"/>
  <c r="O19" i="32"/>
  <c r="Q9" i="32"/>
  <c r="R9" i="32"/>
  <c r="S9" i="32"/>
  <c r="A10" i="32"/>
  <c r="B10" i="32"/>
  <c r="D10" i="32"/>
  <c r="E10" i="32"/>
  <c r="H10" i="32"/>
  <c r="I10" i="32"/>
  <c r="N10" i="32"/>
  <c r="Q10" i="32"/>
  <c r="R10" i="32"/>
  <c r="S10" i="32"/>
  <c r="A11" i="32"/>
  <c r="B11" i="32"/>
  <c r="D11" i="32"/>
  <c r="E11" i="32"/>
  <c r="H11" i="32"/>
  <c r="I11" i="32"/>
  <c r="N11" i="32"/>
  <c r="Q11" i="32"/>
  <c r="R11" i="32"/>
  <c r="S11" i="32"/>
  <c r="A12" i="32"/>
  <c r="B12" i="32"/>
  <c r="D12" i="32"/>
  <c r="E12" i="32"/>
  <c r="H12" i="32"/>
  <c r="I12" i="32"/>
  <c r="N12" i="32"/>
  <c r="Q12" i="32"/>
  <c r="R12" i="32"/>
  <c r="S12" i="32"/>
  <c r="A13" i="32"/>
  <c r="B13" i="32"/>
  <c r="D13" i="32"/>
  <c r="E13" i="32"/>
  <c r="H13" i="32"/>
  <c r="I13" i="32"/>
  <c r="N13" i="32"/>
  <c r="Q13" i="32"/>
  <c r="R13" i="32"/>
  <c r="S13" i="32"/>
  <c r="A14" i="32"/>
  <c r="B14" i="32"/>
  <c r="D14" i="32"/>
  <c r="E14" i="32"/>
  <c r="H14" i="32"/>
  <c r="I14" i="32"/>
  <c r="N14" i="32"/>
  <c r="Q14" i="32"/>
  <c r="R14" i="32"/>
  <c r="S14" i="32"/>
  <c r="A15" i="32"/>
  <c r="B15" i="32"/>
  <c r="D15" i="32"/>
  <c r="E15" i="32"/>
  <c r="H15" i="32"/>
  <c r="I15" i="32"/>
  <c r="N15" i="32"/>
  <c r="Q15" i="32"/>
  <c r="R15" i="32"/>
  <c r="S15" i="32"/>
  <c r="A16" i="32"/>
  <c r="B16" i="32"/>
  <c r="D16" i="32"/>
  <c r="E16" i="32"/>
  <c r="H16" i="32"/>
  <c r="I16" i="32"/>
  <c r="N16" i="32"/>
  <c r="Q16" i="32"/>
  <c r="R16" i="32"/>
  <c r="S16" i="32"/>
  <c r="A17" i="32"/>
  <c r="B17" i="32"/>
  <c r="D17" i="32"/>
  <c r="D20" i="32" s="1"/>
  <c r="E17" i="32"/>
  <c r="H17" i="32"/>
  <c r="I17" i="32"/>
  <c r="N17" i="32"/>
  <c r="Q17" i="32"/>
  <c r="R17" i="32"/>
  <c r="S17" i="32"/>
  <c r="A18" i="32"/>
  <c r="B18" i="32"/>
  <c r="D18" i="32"/>
  <c r="E18" i="32"/>
  <c r="H18" i="32"/>
  <c r="I18" i="32"/>
  <c r="N18" i="32"/>
  <c r="Q18" i="32"/>
  <c r="Q20" i="32" s="1"/>
  <c r="R18" i="32"/>
  <c r="S18" i="32"/>
  <c r="A19" i="32"/>
  <c r="B19" i="32"/>
  <c r="D19" i="32"/>
  <c r="E19" i="32"/>
  <c r="H19" i="32"/>
  <c r="I19" i="32"/>
  <c r="N19" i="32"/>
  <c r="Q19" i="32"/>
  <c r="R19" i="32"/>
  <c r="S19" i="32"/>
  <c r="A20" i="32"/>
  <c r="A3" i="30"/>
  <c r="C5" i="30"/>
  <c r="H5" i="30"/>
  <c r="A19" i="30"/>
  <c r="A3" i="31"/>
  <c r="C4" i="31"/>
  <c r="H4" i="31"/>
  <c r="I4" i="31"/>
  <c r="A6" i="31"/>
  <c r="B6" i="31"/>
  <c r="A7" i="31"/>
  <c r="B7" i="31"/>
  <c r="A8" i="31"/>
  <c r="B8" i="31"/>
  <c r="A9" i="31"/>
  <c r="B9" i="31"/>
  <c r="A10" i="31"/>
  <c r="B10" i="31"/>
  <c r="A11" i="31"/>
  <c r="B11" i="31"/>
  <c r="A12" i="31"/>
  <c r="B12" i="31"/>
  <c r="A13" i="31"/>
  <c r="B13" i="31"/>
  <c r="A14" i="31"/>
  <c r="B14" i="31"/>
  <c r="A15" i="31"/>
  <c r="B15" i="31"/>
  <c r="A16" i="31"/>
  <c r="B16" i="31"/>
  <c r="A17" i="31"/>
  <c r="B17" i="31"/>
  <c r="A18" i="31"/>
  <c r="C5" i="58"/>
  <c r="F5" i="58"/>
  <c r="J5" i="58"/>
  <c r="L5" i="58"/>
  <c r="N5" i="58"/>
  <c r="O5" i="58"/>
  <c r="T5" i="58"/>
  <c r="A6" i="58"/>
  <c r="B6" i="58"/>
  <c r="A7" i="58"/>
  <c r="B7" i="58"/>
  <c r="A8" i="58"/>
  <c r="B8" i="58"/>
  <c r="A9" i="58"/>
  <c r="B9" i="58"/>
  <c r="A10" i="58"/>
  <c r="B10" i="58"/>
  <c r="A11" i="58"/>
  <c r="B11" i="58"/>
  <c r="A12" i="58"/>
  <c r="B12" i="58"/>
  <c r="A13" i="58"/>
  <c r="B13" i="58"/>
  <c r="A14" i="58"/>
  <c r="B14" i="58"/>
  <c r="A15" i="58"/>
  <c r="B15" i="58"/>
  <c r="A16" i="58"/>
  <c r="B16" i="58"/>
  <c r="A17" i="58"/>
  <c r="B17" i="58"/>
  <c r="A6" i="14"/>
  <c r="B6" i="14"/>
  <c r="A7" i="14"/>
  <c r="B7" i="14"/>
  <c r="A8" i="14"/>
  <c r="B8" i="14"/>
  <c r="A9" i="14"/>
  <c r="B9" i="14"/>
  <c r="A10" i="14"/>
  <c r="B10" i="14"/>
  <c r="A11" i="14"/>
  <c r="B11" i="14"/>
  <c r="A12" i="14"/>
  <c r="B12" i="14"/>
  <c r="A13" i="14"/>
  <c r="B13" i="14"/>
  <c r="A14" i="14"/>
  <c r="B14" i="14"/>
  <c r="A15" i="14"/>
  <c r="B15" i="14"/>
  <c r="A16" i="14"/>
  <c r="B16" i="14"/>
  <c r="A17" i="14"/>
  <c r="B17" i="14"/>
  <c r="A6" i="15"/>
  <c r="B6" i="15"/>
  <c r="A7" i="15"/>
  <c r="B7" i="15"/>
  <c r="A8" i="15"/>
  <c r="B8" i="15"/>
  <c r="A9" i="15"/>
  <c r="B9" i="15"/>
  <c r="A10" i="15"/>
  <c r="B10" i="15"/>
  <c r="A11" i="15"/>
  <c r="B11" i="15"/>
  <c r="A12" i="15"/>
  <c r="B12" i="15"/>
  <c r="A13" i="15"/>
  <c r="B13" i="15"/>
  <c r="A14" i="15"/>
  <c r="B14" i="15"/>
  <c r="A15" i="15"/>
  <c r="B15" i="15"/>
  <c r="A16" i="15"/>
  <c r="B16" i="15"/>
  <c r="A17" i="15"/>
  <c r="B17" i="15"/>
  <c r="A8" i="43"/>
  <c r="B8" i="43"/>
  <c r="A9" i="43"/>
  <c r="B9" i="43"/>
  <c r="A10" i="43"/>
  <c r="B10" i="43"/>
  <c r="A11" i="43"/>
  <c r="B11" i="43"/>
  <c r="A12" i="43"/>
  <c r="B12" i="43"/>
  <c r="A13" i="43"/>
  <c r="B13" i="43"/>
  <c r="A14" i="43"/>
  <c r="B14" i="43"/>
  <c r="A15" i="43"/>
  <c r="B15" i="43"/>
  <c r="A16" i="43"/>
  <c r="B16" i="43"/>
  <c r="A17" i="43"/>
  <c r="B17" i="43"/>
  <c r="A18" i="43"/>
  <c r="B18" i="43"/>
  <c r="A19" i="43"/>
  <c r="B19" i="43"/>
  <c r="A6" i="4"/>
  <c r="B6" i="4"/>
  <c r="O6" i="4"/>
  <c r="P6" i="4"/>
  <c r="K7" i="30" s="1"/>
  <c r="A7" i="4"/>
  <c r="B7" i="4"/>
  <c r="O7" i="4"/>
  <c r="P7" i="4"/>
  <c r="K8" i="30"/>
  <c r="A8" i="4"/>
  <c r="B8" i="4"/>
  <c r="O8" i="4"/>
  <c r="F9" i="30"/>
  <c r="P8" i="4"/>
  <c r="K9" i="30" s="1"/>
  <c r="A9" i="4"/>
  <c r="B9" i="4"/>
  <c r="O9" i="4"/>
  <c r="F10" i="30"/>
  <c r="P9" i="4"/>
  <c r="K10" i="30" s="1"/>
  <c r="A10" i="4"/>
  <c r="B10" i="4"/>
  <c r="O10" i="4"/>
  <c r="F11" i="30" s="1"/>
  <c r="P10" i="4"/>
  <c r="K11" i="30" s="1"/>
  <c r="A11" i="4"/>
  <c r="B11" i="4"/>
  <c r="O11" i="4"/>
  <c r="F12" i="30" s="1"/>
  <c r="P11" i="4"/>
  <c r="K12" i="30" s="1"/>
  <c r="A12" i="4"/>
  <c r="B12" i="4"/>
  <c r="O12" i="4"/>
  <c r="F13" i="30" s="1"/>
  <c r="P12" i="4"/>
  <c r="K13" i="30" s="1"/>
  <c r="A13" i="4"/>
  <c r="B13" i="4"/>
  <c r="O13" i="4"/>
  <c r="F14" i="30" s="1"/>
  <c r="P13" i="4"/>
  <c r="K14" i="30" s="1"/>
  <c r="A14" i="4"/>
  <c r="B14" i="4"/>
  <c r="O14" i="4"/>
  <c r="F15" i="30" s="1"/>
  <c r="P14" i="4"/>
  <c r="K15" i="30" s="1"/>
  <c r="A15" i="4"/>
  <c r="B15" i="4"/>
  <c r="O15" i="4"/>
  <c r="F16" i="30"/>
  <c r="P15" i="4"/>
  <c r="K16" i="30"/>
  <c r="A16" i="4"/>
  <c r="B16" i="4"/>
  <c r="O16" i="4"/>
  <c r="F17" i="30" s="1"/>
  <c r="P16" i="4"/>
  <c r="K17" i="30" s="1"/>
  <c r="A17" i="4"/>
  <c r="B17" i="4"/>
  <c r="O17" i="4"/>
  <c r="F18" i="30" s="1"/>
  <c r="P17" i="4"/>
  <c r="K18" i="30" s="1"/>
  <c r="C18" i="4"/>
  <c r="D18" i="4"/>
  <c r="E18" i="4"/>
  <c r="F18" i="4"/>
  <c r="G18" i="4"/>
  <c r="H18" i="4"/>
  <c r="I18" i="4"/>
  <c r="J18" i="4"/>
  <c r="K18" i="4"/>
  <c r="L18" i="4"/>
  <c r="M18" i="4"/>
  <c r="N18" i="4"/>
  <c r="A6" i="5"/>
  <c r="B6" i="5"/>
  <c r="A7" i="5"/>
  <c r="B7" i="5"/>
  <c r="A8" i="5"/>
  <c r="B8" i="5"/>
  <c r="J9" i="30"/>
  <c r="A9" i="5"/>
  <c r="B9" i="5"/>
  <c r="J10" i="30"/>
  <c r="A10" i="5"/>
  <c r="B10" i="5"/>
  <c r="A11" i="5"/>
  <c r="B11" i="5"/>
  <c r="A12" i="5"/>
  <c r="B12" i="5"/>
  <c r="A13" i="5"/>
  <c r="B13" i="5"/>
  <c r="J14" i="30"/>
  <c r="A14" i="5"/>
  <c r="B14" i="5"/>
  <c r="A15" i="5"/>
  <c r="B15" i="5"/>
  <c r="A16" i="5"/>
  <c r="B16" i="5"/>
  <c r="A17" i="5"/>
  <c r="B17" i="5"/>
  <c r="C18" i="5"/>
  <c r="D18" i="5"/>
  <c r="E18" i="5"/>
  <c r="F18" i="5"/>
  <c r="G18" i="5"/>
  <c r="H18" i="5"/>
  <c r="I18" i="5"/>
  <c r="J18" i="5"/>
  <c r="K18" i="5"/>
  <c r="L18" i="5"/>
  <c r="M18" i="5"/>
  <c r="N18" i="5"/>
  <c r="O18" i="5"/>
  <c r="P18" i="5"/>
  <c r="Q18" i="5"/>
  <c r="R18" i="5"/>
  <c r="S18" i="5"/>
  <c r="T18" i="5"/>
  <c r="U18" i="5"/>
  <c r="V18" i="5"/>
  <c r="Y18" i="5"/>
  <c r="Z18" i="5"/>
  <c r="A6" i="6"/>
  <c r="B6" i="6"/>
  <c r="A7" i="6"/>
  <c r="B7" i="6"/>
  <c r="A8" i="6"/>
  <c r="B8" i="6"/>
  <c r="I9" i="30"/>
  <c r="A9" i="6"/>
  <c r="B9" i="6"/>
  <c r="A10" i="6"/>
  <c r="B10" i="6"/>
  <c r="A11" i="6"/>
  <c r="B11" i="6"/>
  <c r="A12" i="6"/>
  <c r="B12" i="6"/>
  <c r="A13" i="6"/>
  <c r="B13" i="6"/>
  <c r="I14" i="30"/>
  <c r="A14" i="6"/>
  <c r="B14" i="6"/>
  <c r="A15" i="6"/>
  <c r="B15" i="6"/>
  <c r="D16" i="30"/>
  <c r="A16" i="6"/>
  <c r="B16" i="6"/>
  <c r="A17" i="6"/>
  <c r="B17" i="6"/>
  <c r="D18" i="30"/>
  <c r="C18" i="6"/>
  <c r="D18" i="6"/>
  <c r="E18" i="6"/>
  <c r="F18" i="6"/>
  <c r="G18" i="6"/>
  <c r="H18" i="6"/>
  <c r="I18" i="6"/>
  <c r="J18" i="6"/>
  <c r="K18" i="6"/>
  <c r="L18" i="6"/>
  <c r="M18" i="6"/>
  <c r="N18" i="6"/>
  <c r="O18" i="6"/>
  <c r="P18" i="6"/>
  <c r="Q18" i="6"/>
  <c r="R18" i="6"/>
  <c r="U18" i="6"/>
  <c r="V18" i="6"/>
  <c r="A7" i="7"/>
  <c r="B7" i="7"/>
  <c r="A8" i="7"/>
  <c r="B8" i="7"/>
  <c r="A9" i="7"/>
  <c r="B9" i="7"/>
  <c r="A10" i="7"/>
  <c r="B10" i="7"/>
  <c r="A11" i="7"/>
  <c r="B11" i="7"/>
  <c r="A12" i="7"/>
  <c r="B12" i="7"/>
  <c r="A13" i="7"/>
  <c r="B13" i="7"/>
  <c r="A14" i="7"/>
  <c r="B14" i="7"/>
  <c r="A15" i="7"/>
  <c r="B15" i="7"/>
  <c r="A16" i="7"/>
  <c r="B16" i="7"/>
  <c r="A17" i="7"/>
  <c r="B17" i="7"/>
  <c r="A18" i="7"/>
  <c r="B18" i="7"/>
  <c r="C19" i="7"/>
  <c r="D19" i="7"/>
  <c r="E19" i="7"/>
  <c r="F19" i="7"/>
  <c r="G19" i="7"/>
  <c r="H19" i="7"/>
  <c r="I19" i="7"/>
  <c r="J19" i="7"/>
  <c r="K19" i="7"/>
  <c r="L19" i="7"/>
  <c r="M19" i="7"/>
  <c r="N19" i="7"/>
  <c r="O19" i="7"/>
  <c r="P19" i="7"/>
  <c r="A7" i="8"/>
  <c r="B7" i="8"/>
  <c r="A8" i="8"/>
  <c r="B8" i="8"/>
  <c r="A9" i="8"/>
  <c r="B9" i="8"/>
  <c r="A10" i="8"/>
  <c r="B10" i="8"/>
  <c r="A11" i="8"/>
  <c r="B11" i="8"/>
  <c r="A12" i="8"/>
  <c r="B12" i="8"/>
  <c r="A13" i="8"/>
  <c r="B13" i="8"/>
  <c r="A14" i="8"/>
  <c r="B14" i="8"/>
  <c r="A15" i="8"/>
  <c r="B15" i="8"/>
  <c r="A16" i="8"/>
  <c r="B16" i="8"/>
  <c r="A17" i="8"/>
  <c r="B17" i="8"/>
  <c r="A18" i="8"/>
  <c r="B18" i="8"/>
  <c r="C19" i="8"/>
  <c r="D19" i="8"/>
  <c r="E19" i="8"/>
  <c r="F19" i="8"/>
  <c r="G19" i="8"/>
  <c r="H19" i="8"/>
  <c r="I19" i="8"/>
  <c r="J19" i="8"/>
  <c r="K19" i="8"/>
  <c r="L19" i="8"/>
  <c r="A15" i="9"/>
  <c r="B15" i="9"/>
  <c r="C14" i="9" s="1"/>
  <c r="O15" i="9"/>
  <c r="H6" i="33" s="1"/>
  <c r="A16" i="9"/>
  <c r="B16" i="9"/>
  <c r="D14" i="9" s="1"/>
  <c r="O16" i="9"/>
  <c r="A17" i="9"/>
  <c r="B17" i="9"/>
  <c r="E14" i="9" s="1"/>
  <c r="O17" i="9"/>
  <c r="E8" i="44" s="1"/>
  <c r="A18" i="9"/>
  <c r="B18" i="9"/>
  <c r="F14" i="9" s="1"/>
  <c r="O18" i="9"/>
  <c r="A19" i="9"/>
  <c r="B19" i="9"/>
  <c r="G14" i="9" s="1"/>
  <c r="O19" i="9"/>
  <c r="F10" i="31" s="1"/>
  <c r="A20" i="9"/>
  <c r="B20" i="9"/>
  <c r="H14" i="9" s="1"/>
  <c r="O20" i="9"/>
  <c r="E11" i="44" s="1"/>
  <c r="A21" i="9"/>
  <c r="B21" i="9"/>
  <c r="I14" i="9" s="1"/>
  <c r="O21" i="9"/>
  <c r="F12" i="48" s="1"/>
  <c r="A22" i="9"/>
  <c r="B22" i="9"/>
  <c r="J14" i="9" s="1"/>
  <c r="O22" i="9"/>
  <c r="A23" i="9"/>
  <c r="B23" i="9"/>
  <c r="K14" i="9" s="1"/>
  <c r="O23" i="9"/>
  <c r="A24" i="9"/>
  <c r="B24" i="9"/>
  <c r="L14" i="9" s="1"/>
  <c r="O24" i="9"/>
  <c r="A25" i="9"/>
  <c r="B25" i="9"/>
  <c r="M14" i="9"/>
  <c r="O25" i="9"/>
  <c r="H16" i="33" s="1"/>
  <c r="A26" i="9"/>
  <c r="B26" i="9"/>
  <c r="N14" i="9"/>
  <c r="O26" i="9"/>
  <c r="F17" i="48"/>
  <c r="C27" i="9"/>
  <c r="D27" i="9"/>
  <c r="G7" i="31" s="1"/>
  <c r="E27" i="9"/>
  <c r="G8" i="31" s="1"/>
  <c r="F27" i="9"/>
  <c r="F9" i="33" s="1"/>
  <c r="G27" i="9"/>
  <c r="H27" i="9"/>
  <c r="G11" i="48" s="1"/>
  <c r="I27" i="9"/>
  <c r="J27" i="9"/>
  <c r="G13" i="48" s="1"/>
  <c r="K27" i="9"/>
  <c r="F14" i="33" s="1"/>
  <c r="L27" i="9"/>
  <c r="F15" i="33" s="1"/>
  <c r="M27" i="9"/>
  <c r="F16" i="33" s="1"/>
  <c r="N27" i="9"/>
  <c r="F17" i="33" s="1"/>
  <c r="A6" i="20"/>
  <c r="B6" i="20"/>
  <c r="A7" i="20"/>
  <c r="B7" i="20"/>
  <c r="A8" i="20"/>
  <c r="B8" i="20"/>
  <c r="A9" i="20"/>
  <c r="B9" i="20"/>
  <c r="A10" i="20"/>
  <c r="B10" i="20"/>
  <c r="A11" i="20"/>
  <c r="B11" i="20"/>
  <c r="A12" i="20"/>
  <c r="B12" i="20"/>
  <c r="A13" i="20"/>
  <c r="B13" i="20"/>
  <c r="A14" i="20"/>
  <c r="B14" i="20"/>
  <c r="A15" i="20"/>
  <c r="B15" i="20"/>
  <c r="A16" i="20"/>
  <c r="B16" i="20"/>
  <c r="A17" i="20"/>
  <c r="B17" i="20"/>
  <c r="C18" i="20"/>
  <c r="D18" i="20"/>
  <c r="E18" i="20"/>
  <c r="F18" i="20"/>
  <c r="G18" i="20"/>
  <c r="H18" i="20"/>
  <c r="I18" i="20"/>
  <c r="J18" i="20"/>
  <c r="K18" i="20"/>
  <c r="L18" i="20"/>
  <c r="M18" i="20"/>
  <c r="N18" i="20"/>
  <c r="O18" i="20"/>
  <c r="P18" i="20"/>
  <c r="A1" i="53"/>
  <c r="D15" i="53"/>
  <c r="E15" i="53"/>
  <c r="F15" i="53"/>
  <c r="G15" i="53"/>
  <c r="H15" i="53"/>
  <c r="I15" i="53"/>
  <c r="J15" i="53"/>
  <c r="K15" i="53"/>
  <c r="C4" i="2"/>
  <c r="K4" i="2"/>
  <c r="K59" i="47"/>
  <c r="K62" i="47"/>
  <c r="B1" i="53"/>
  <c r="A1" i="43"/>
  <c r="D7" i="44"/>
  <c r="D7" i="31"/>
  <c r="D10" i="44"/>
  <c r="D10" i="31"/>
  <c r="H7" i="48"/>
  <c r="H10" i="48"/>
  <c r="G12" i="48"/>
  <c r="F12" i="33"/>
  <c r="E24" i="46"/>
  <c r="C8" i="29"/>
  <c r="E8" i="29" s="1"/>
  <c r="H8" i="29" s="1"/>
  <c r="E8" i="58"/>
  <c r="R8" i="58" s="1"/>
  <c r="K9" i="2"/>
  <c r="AI13" i="15"/>
  <c r="AI7" i="15"/>
  <c r="AI15" i="15"/>
  <c r="D17" i="45"/>
  <c r="F17" i="44"/>
  <c r="E18" i="15"/>
  <c r="D15" i="29"/>
  <c r="E7" i="70"/>
  <c r="F7" i="44"/>
  <c r="C7" i="29"/>
  <c r="F9" i="44"/>
  <c r="E17" i="70"/>
  <c r="C17" i="29"/>
  <c r="E17" i="29" s="1"/>
  <c r="E17" i="58"/>
  <c r="T17" i="58" s="1"/>
  <c r="E8" i="33"/>
  <c r="E9" i="33"/>
  <c r="AI8" i="15"/>
  <c r="AI12" i="15"/>
  <c r="AI16" i="15"/>
  <c r="AI14" i="15"/>
  <c r="G10" i="48"/>
  <c r="F10" i="33"/>
  <c r="G10" i="31"/>
  <c r="F15" i="44"/>
  <c r="AI6" i="15"/>
  <c r="H11" i="48"/>
  <c r="D11" i="31"/>
  <c r="D11" i="44"/>
  <c r="D11" i="33"/>
  <c r="K7" i="67"/>
  <c r="I7" i="67"/>
  <c r="F8" i="30"/>
  <c r="E7" i="33"/>
  <c r="D14" i="44"/>
  <c r="H17" i="33"/>
  <c r="E15" i="33"/>
  <c r="H15" i="33"/>
  <c r="D9" i="64"/>
  <c r="F15" i="48"/>
  <c r="E15" i="44"/>
  <c r="E11" i="31"/>
  <c r="E7" i="44"/>
  <c r="H7" i="33"/>
  <c r="F7" i="31"/>
  <c r="F7" i="48"/>
  <c r="D17" i="44"/>
  <c r="D17" i="33"/>
  <c r="H17" i="48"/>
  <c r="E9" i="44"/>
  <c r="H9" i="33"/>
  <c r="F9" i="31"/>
  <c r="F9" i="48"/>
  <c r="E13" i="44"/>
  <c r="H13" i="33"/>
  <c r="F13" i="48"/>
  <c r="E7" i="31"/>
  <c r="F16" i="48"/>
  <c r="C11" i="29"/>
  <c r="E11" i="29" s="1"/>
  <c r="F10" i="48"/>
  <c r="H14" i="48"/>
  <c r="C13" i="33"/>
  <c r="L17" i="2"/>
  <c r="M19" i="32" s="1"/>
  <c r="U19" i="32" s="1"/>
  <c r="AI17" i="15"/>
  <c r="I18" i="2"/>
  <c r="M11" i="32"/>
  <c r="V11" i="32" s="1"/>
  <c r="D9" i="48"/>
  <c r="J17" i="58"/>
  <c r="F16" i="44"/>
  <c r="C16" i="29"/>
  <c r="E16" i="70"/>
  <c r="D16" i="45"/>
  <c r="E16" i="58"/>
  <c r="I16" i="58" s="1"/>
  <c r="O16" i="58"/>
  <c r="E12" i="70"/>
  <c r="F12" i="44"/>
  <c r="E12" i="58"/>
  <c r="P12" i="58" s="1"/>
  <c r="D12" i="45"/>
  <c r="C12" i="29"/>
  <c r="E12" i="29" s="1"/>
  <c r="E13" i="33"/>
  <c r="G9" i="31"/>
  <c r="K16" i="58"/>
  <c r="Q16" i="58"/>
  <c r="D15" i="35"/>
  <c r="A1" i="66"/>
  <c r="A1" i="15"/>
  <c r="A1" i="20"/>
  <c r="A1" i="31"/>
  <c r="A1" i="7"/>
  <c r="A1" i="5"/>
  <c r="A1" i="46"/>
  <c r="A1" i="9"/>
  <c r="A1" i="29"/>
  <c r="A1" i="70"/>
  <c r="A1" i="65"/>
  <c r="A1" i="67"/>
  <c r="A1" i="35"/>
  <c r="C13" i="32"/>
  <c r="K13" i="32" s="1"/>
  <c r="D16" i="35"/>
  <c r="E16" i="35"/>
  <c r="H10" i="30"/>
  <c r="C9" i="44"/>
  <c r="H10" i="33"/>
  <c r="D14" i="35"/>
  <c r="E9" i="70"/>
  <c r="D15" i="45"/>
  <c r="D6" i="29"/>
  <c r="E15" i="70"/>
  <c r="E9" i="58"/>
  <c r="N9" i="58" s="1"/>
  <c r="E15" i="58"/>
  <c r="K15" i="58" s="1"/>
  <c r="C9" i="29"/>
  <c r="E9" i="29" s="1"/>
  <c r="L9" i="30"/>
  <c r="D13" i="44"/>
  <c r="H16" i="48"/>
  <c r="H9" i="48"/>
  <c r="D9" i="31"/>
  <c r="H13" i="48"/>
  <c r="E17" i="44"/>
  <c r="G8" i="48"/>
  <c r="G15" i="48"/>
  <c r="G14" i="48"/>
  <c r="G7" i="48"/>
  <c r="E16" i="44"/>
  <c r="L6" i="2"/>
  <c r="C7" i="33"/>
  <c r="L13" i="32"/>
  <c r="M10" i="32"/>
  <c r="U10" i="32" s="1"/>
  <c r="J9" i="58"/>
  <c r="L15" i="58"/>
  <c r="G20" i="32"/>
  <c r="D22" i="79"/>
  <c r="L22" i="79"/>
  <c r="J22" i="79"/>
  <c r="E22" i="79"/>
  <c r="H22" i="79"/>
  <c r="F22" i="79"/>
  <c r="I22" i="79"/>
  <c r="N17" i="58"/>
  <c r="I13" i="58"/>
  <c r="I9" i="58"/>
  <c r="L9" i="58"/>
  <c r="T16" i="58"/>
  <c r="K13" i="58"/>
  <c r="O9" i="58"/>
  <c r="P9" i="58"/>
  <c r="P17" i="58"/>
  <c r="R20" i="43"/>
  <c r="L20" i="43"/>
  <c r="C6" i="70"/>
  <c r="D6" i="70" s="1"/>
  <c r="AV20" i="43"/>
  <c r="H8" i="30"/>
  <c r="M9" i="32"/>
  <c r="M7" i="2"/>
  <c r="Q7" i="20" s="1"/>
  <c r="C7" i="58"/>
  <c r="U9" i="32"/>
  <c r="V9" i="32"/>
  <c r="H14" i="71" l="1"/>
  <c r="F234" i="47" s="1"/>
  <c r="L13" i="58"/>
  <c r="O13" i="58"/>
  <c r="Q13" i="58"/>
  <c r="J13" i="58"/>
  <c r="M13" i="58" s="1"/>
  <c r="C13" i="29"/>
  <c r="E13" i="29" s="1"/>
  <c r="G13" i="29" s="1"/>
  <c r="H13" i="29" s="1"/>
  <c r="I13" i="29" s="1"/>
  <c r="D13" i="45"/>
  <c r="E13" i="70"/>
  <c r="F13" i="44"/>
  <c r="P13" i="58"/>
  <c r="C6" i="33"/>
  <c r="H6" i="48"/>
  <c r="M20" i="43"/>
  <c r="C11" i="48"/>
  <c r="F11" i="48"/>
  <c r="O27" i="9"/>
  <c r="C227" i="47" s="1"/>
  <c r="H11" i="33"/>
  <c r="F11" i="33"/>
  <c r="F11" i="31"/>
  <c r="G11" i="31"/>
  <c r="I6" i="67"/>
  <c r="T17" i="73"/>
  <c r="D19" i="73"/>
  <c r="S13" i="73"/>
  <c r="S11" i="73"/>
  <c r="E18" i="2"/>
  <c r="AI18" i="2"/>
  <c r="G18" i="15"/>
  <c r="H17" i="29"/>
  <c r="I17" i="29" s="1"/>
  <c r="G17" i="29"/>
  <c r="L17" i="58"/>
  <c r="Q17" i="58"/>
  <c r="I17" i="58"/>
  <c r="K17" i="58"/>
  <c r="R17" i="58"/>
  <c r="O17" i="58"/>
  <c r="H16" i="29"/>
  <c r="I16" i="29" s="1"/>
  <c r="N16" i="58"/>
  <c r="P16" i="58"/>
  <c r="R16" i="58"/>
  <c r="J16" i="58"/>
  <c r="L16" i="58"/>
  <c r="M16" i="58" s="1"/>
  <c r="O15" i="58"/>
  <c r="N15" i="58"/>
  <c r="Q15" i="58"/>
  <c r="S15" i="58" s="1"/>
  <c r="J15" i="58"/>
  <c r="I15" i="58"/>
  <c r="M15" i="58" s="1"/>
  <c r="P15" i="58"/>
  <c r="R15" i="58"/>
  <c r="T15" i="58"/>
  <c r="G12" i="29"/>
  <c r="H12" i="29" s="1"/>
  <c r="I12" i="29" s="1"/>
  <c r="Q12" i="58"/>
  <c r="S12" i="58" s="1"/>
  <c r="T12" i="58"/>
  <c r="O12" i="58"/>
  <c r="R12" i="58"/>
  <c r="J12" i="58"/>
  <c r="C18" i="15"/>
  <c r="E11" i="58"/>
  <c r="F11" i="44"/>
  <c r="D11" i="45"/>
  <c r="Q9" i="58"/>
  <c r="T9" i="58"/>
  <c r="R9" i="58"/>
  <c r="H9" i="70"/>
  <c r="I9" i="70" s="1"/>
  <c r="K8" i="58"/>
  <c r="J8" i="58"/>
  <c r="N8" i="58"/>
  <c r="I8" i="58"/>
  <c r="O8" i="58"/>
  <c r="L8" i="58"/>
  <c r="G8" i="29"/>
  <c r="Q8" i="58"/>
  <c r="P8" i="58"/>
  <c r="T8" i="58"/>
  <c r="I8" i="29"/>
  <c r="E7" i="29"/>
  <c r="G7" i="29" s="1"/>
  <c r="H7" i="29" s="1"/>
  <c r="I7" i="29" s="1"/>
  <c r="L7" i="58"/>
  <c r="O7" i="58"/>
  <c r="I7" i="58"/>
  <c r="J7" i="58"/>
  <c r="P7" i="58"/>
  <c r="R7" i="58"/>
  <c r="T7" i="58"/>
  <c r="K7" i="58"/>
  <c r="Q7" i="58"/>
  <c r="N7" i="58"/>
  <c r="C6" i="29"/>
  <c r="E6" i="29" s="1"/>
  <c r="G6" i="29" s="1"/>
  <c r="D6" i="45"/>
  <c r="U19" i="7"/>
  <c r="E10" i="33"/>
  <c r="C7" i="31"/>
  <c r="H7" i="31" s="1"/>
  <c r="J7" i="31" s="1"/>
  <c r="C17" i="44"/>
  <c r="M17" i="2"/>
  <c r="C19" i="32"/>
  <c r="D17" i="58"/>
  <c r="H17" i="58" s="1"/>
  <c r="C17" i="58"/>
  <c r="D17" i="48"/>
  <c r="C18" i="30"/>
  <c r="M6" i="2"/>
  <c r="Q6" i="20" s="1"/>
  <c r="D6" i="58"/>
  <c r="G6" i="58" s="1"/>
  <c r="I6" i="31"/>
  <c r="C7" i="30"/>
  <c r="C8" i="32"/>
  <c r="D10" i="48"/>
  <c r="I10" i="31"/>
  <c r="D10" i="58"/>
  <c r="G10" i="58" s="1"/>
  <c r="C12" i="32"/>
  <c r="L12" i="32" s="1"/>
  <c r="C11" i="30"/>
  <c r="C10" i="58"/>
  <c r="C10" i="44"/>
  <c r="K9" i="32"/>
  <c r="L9" i="32"/>
  <c r="AC7" i="5"/>
  <c r="C6" i="44"/>
  <c r="K12" i="2"/>
  <c r="M12" i="2" s="1"/>
  <c r="AT13" i="73"/>
  <c r="AU12" i="73"/>
  <c r="AU18" i="73"/>
  <c r="Y7" i="6"/>
  <c r="H11" i="30"/>
  <c r="L11" i="30" s="1"/>
  <c r="L12" i="2"/>
  <c r="AU13" i="73"/>
  <c r="AT7" i="73"/>
  <c r="V7" i="14"/>
  <c r="D7" i="58"/>
  <c r="K13" i="2"/>
  <c r="AU7" i="73"/>
  <c r="G17" i="44"/>
  <c r="V10" i="32"/>
  <c r="AT8" i="73"/>
  <c r="K7" i="15"/>
  <c r="Y9" i="43"/>
  <c r="Q7" i="4"/>
  <c r="AU9" i="73"/>
  <c r="H15" i="30"/>
  <c r="H18" i="30"/>
  <c r="L18" i="30" s="1"/>
  <c r="I7" i="31"/>
  <c r="V12" i="32"/>
  <c r="M10" i="2"/>
  <c r="D7" i="48"/>
  <c r="K7" i="48" s="1"/>
  <c r="K15" i="2"/>
  <c r="AT16" i="73"/>
  <c r="AU10" i="73"/>
  <c r="AT11" i="73"/>
  <c r="C8" i="30"/>
  <c r="G8" i="30" s="1"/>
  <c r="L15" i="2"/>
  <c r="AU16" i="73"/>
  <c r="W8" i="7"/>
  <c r="C7" i="44"/>
  <c r="G7" i="44" s="1"/>
  <c r="K16" i="2"/>
  <c r="AT17" i="73"/>
  <c r="AU11" i="73"/>
  <c r="AU17" i="73"/>
  <c r="S14" i="73"/>
  <c r="AU15" i="73"/>
  <c r="E5" i="35"/>
  <c r="C6" i="31"/>
  <c r="J20" i="43"/>
  <c r="C10" i="48"/>
  <c r="J10" i="48" s="1"/>
  <c r="C12" i="70"/>
  <c r="D12" i="70" s="1"/>
  <c r="H12" i="70" s="1"/>
  <c r="I12" i="70" s="1"/>
  <c r="K19" i="30"/>
  <c r="P18" i="4"/>
  <c r="G18" i="30"/>
  <c r="G12" i="30"/>
  <c r="L10" i="30"/>
  <c r="U12" i="32"/>
  <c r="K6" i="67"/>
  <c r="T15" i="53"/>
  <c r="C225" i="47" s="1"/>
  <c r="C9" i="79"/>
  <c r="T18" i="73"/>
  <c r="S12" i="73"/>
  <c r="T11" i="73"/>
  <c r="T9" i="73"/>
  <c r="C19" i="73"/>
  <c r="S8" i="73"/>
  <c r="G16" i="33"/>
  <c r="I16" i="33" s="1"/>
  <c r="G14" i="33"/>
  <c r="D18" i="2"/>
  <c r="C11" i="33"/>
  <c r="G11" i="33" s="1"/>
  <c r="I11" i="33" s="1"/>
  <c r="C9" i="33"/>
  <c r="G9" i="33" s="1"/>
  <c r="I9" i="33" s="1"/>
  <c r="U11" i="14"/>
  <c r="C11" i="45" s="1"/>
  <c r="U12" i="14"/>
  <c r="C12" i="45" s="1"/>
  <c r="E12" i="45" s="1"/>
  <c r="H18" i="14"/>
  <c r="L18" i="14"/>
  <c r="R18" i="14"/>
  <c r="G18" i="14"/>
  <c r="U13" i="14"/>
  <c r="C13" i="64" s="1"/>
  <c r="S8" i="58"/>
  <c r="S9" i="58"/>
  <c r="Q18" i="14"/>
  <c r="U17" i="14"/>
  <c r="C17" i="64" s="1"/>
  <c r="U7" i="14"/>
  <c r="C7" i="64" s="1"/>
  <c r="U15" i="14"/>
  <c r="C15" i="64" s="1"/>
  <c r="I18" i="14"/>
  <c r="S18" i="14"/>
  <c r="J18" i="14"/>
  <c r="P20" i="43"/>
  <c r="F20" i="43"/>
  <c r="N20" i="43"/>
  <c r="K20" i="43"/>
  <c r="C20" i="43"/>
  <c r="U20" i="43"/>
  <c r="O20" i="43"/>
  <c r="E20" i="43"/>
  <c r="S20" i="43"/>
  <c r="W20" i="43"/>
  <c r="Q20" i="43"/>
  <c r="G20" i="43"/>
  <c r="C14" i="48"/>
  <c r="C10" i="70"/>
  <c r="D10" i="70" s="1"/>
  <c r="C8" i="70"/>
  <c r="D8" i="70" s="1"/>
  <c r="H8" i="70" s="1"/>
  <c r="C15" i="70"/>
  <c r="D15" i="70" s="1"/>
  <c r="H15" i="70" s="1"/>
  <c r="I15" i="70" s="1"/>
  <c r="C13" i="48"/>
  <c r="X20" i="43"/>
  <c r="C16" i="70"/>
  <c r="D16" i="70" s="1"/>
  <c r="H16" i="70" s="1"/>
  <c r="I16" i="70" s="1"/>
  <c r="C17" i="48"/>
  <c r="C17" i="70"/>
  <c r="D17" i="70" s="1"/>
  <c r="H17" i="70" s="1"/>
  <c r="G17" i="70" s="1"/>
  <c r="C7" i="48"/>
  <c r="C7" i="70"/>
  <c r="D7" i="70" s="1"/>
  <c r="H7" i="70" s="1"/>
  <c r="C11" i="70"/>
  <c r="D11" i="70" s="1"/>
  <c r="H11" i="70" s="1"/>
  <c r="D14" i="70"/>
  <c r="C16" i="48"/>
  <c r="C12" i="48"/>
  <c r="I20" i="43"/>
  <c r="H20" i="43"/>
  <c r="C14" i="65" s="1"/>
  <c r="D14" i="65" s="1"/>
  <c r="C8" i="48"/>
  <c r="D20" i="43"/>
  <c r="H6" i="70"/>
  <c r="C9" i="48"/>
  <c r="C13" i="70"/>
  <c r="D13" i="70" s="1"/>
  <c r="AU20" i="43"/>
  <c r="V20" i="43"/>
  <c r="D6" i="35"/>
  <c r="K8" i="2"/>
  <c r="AT9" i="73"/>
  <c r="U16" i="32"/>
  <c r="L15" i="30"/>
  <c r="K14" i="2"/>
  <c r="C14" i="44" s="1"/>
  <c r="AT15" i="73"/>
  <c r="L13" i="2"/>
  <c r="AU14" i="73"/>
  <c r="F18" i="2"/>
  <c r="T12" i="73"/>
  <c r="I19" i="73"/>
  <c r="T13" i="73"/>
  <c r="T10" i="73"/>
  <c r="T16" i="73"/>
  <c r="AR19" i="73"/>
  <c r="AQ19" i="73"/>
  <c r="D5" i="35"/>
  <c r="H12" i="33"/>
  <c r="G17" i="48"/>
  <c r="F7" i="33"/>
  <c r="E12" i="44"/>
  <c r="F8" i="31"/>
  <c r="H9" i="31"/>
  <c r="E6" i="44"/>
  <c r="F8" i="48"/>
  <c r="G17" i="33"/>
  <c r="I17" i="33" s="1"/>
  <c r="G9" i="48"/>
  <c r="F13" i="33"/>
  <c r="G13" i="33" s="1"/>
  <c r="I13" i="33" s="1"/>
  <c r="G16" i="48"/>
  <c r="F6" i="31"/>
  <c r="G7" i="33"/>
  <c r="I7" i="33" s="1"/>
  <c r="F8" i="33"/>
  <c r="F6" i="48"/>
  <c r="H8" i="33"/>
  <c r="E10" i="44"/>
  <c r="F32" i="66"/>
  <c r="C239" i="47" s="1"/>
  <c r="J19" i="73"/>
  <c r="S7" i="73"/>
  <c r="G9" i="29"/>
  <c r="H9" i="29" s="1"/>
  <c r="I9" i="29" s="1"/>
  <c r="M9" i="58"/>
  <c r="D11" i="48"/>
  <c r="M13" i="32"/>
  <c r="C11" i="58"/>
  <c r="M11" i="2"/>
  <c r="D11" i="58"/>
  <c r="H12" i="30"/>
  <c r="L12" i="30" s="1"/>
  <c r="I11" i="31"/>
  <c r="C11" i="44"/>
  <c r="G11" i="44" s="1"/>
  <c r="G8" i="70"/>
  <c r="I8" i="70"/>
  <c r="G11" i="29"/>
  <c r="H11" i="29" s="1"/>
  <c r="I11" i="29" s="1"/>
  <c r="D15" i="58"/>
  <c r="C15" i="44"/>
  <c r="G15" i="44" s="1"/>
  <c r="C16" i="30"/>
  <c r="G16" i="30" s="1"/>
  <c r="M15" i="2"/>
  <c r="C15" i="58"/>
  <c r="C17" i="32"/>
  <c r="C18" i="2"/>
  <c r="C8" i="31"/>
  <c r="C8" i="33"/>
  <c r="C10" i="31"/>
  <c r="H10" i="31" s="1"/>
  <c r="C10" i="33"/>
  <c r="G10" i="33" s="1"/>
  <c r="I10" i="33" s="1"/>
  <c r="M17" i="32"/>
  <c r="H16" i="30"/>
  <c r="L16" i="30" s="1"/>
  <c r="D8" i="31"/>
  <c r="D8" i="33"/>
  <c r="D8" i="44"/>
  <c r="H8" i="48"/>
  <c r="D12" i="33"/>
  <c r="H12" i="48"/>
  <c r="E8" i="67"/>
  <c r="K8" i="67"/>
  <c r="K9" i="67" s="1"/>
  <c r="D6" i="48"/>
  <c r="H15" i="29"/>
  <c r="C18" i="14"/>
  <c r="K12" i="58"/>
  <c r="L12" i="58"/>
  <c r="I12" i="58"/>
  <c r="N12" i="58"/>
  <c r="U11" i="32"/>
  <c r="D15" i="44"/>
  <c r="C11" i="32"/>
  <c r="C10" i="30"/>
  <c r="I9" i="31"/>
  <c r="D9" i="58"/>
  <c r="C9" i="58"/>
  <c r="M9" i="2"/>
  <c r="G6" i="48"/>
  <c r="G6" i="31"/>
  <c r="H18" i="15"/>
  <c r="D18" i="15"/>
  <c r="D8" i="29"/>
  <c r="P18" i="14"/>
  <c r="F18" i="14"/>
  <c r="O18" i="14"/>
  <c r="F18" i="15"/>
  <c r="A1" i="79"/>
  <c r="A1" i="33"/>
  <c r="A1" i="32"/>
  <c r="A1" i="48"/>
  <c r="A1" i="45"/>
  <c r="A1" i="4"/>
  <c r="A1" i="58"/>
  <c r="A1" i="14"/>
  <c r="A1" i="6"/>
  <c r="A1" i="8"/>
  <c r="A1" i="64"/>
  <c r="A1" i="44"/>
  <c r="A1" i="30"/>
  <c r="A1" i="73"/>
  <c r="C3" i="47"/>
  <c r="A1" i="23"/>
  <c r="D9" i="33"/>
  <c r="D9" i="44"/>
  <c r="L7" i="67"/>
  <c r="E7" i="67"/>
  <c r="L8" i="67"/>
  <c r="F6" i="33"/>
  <c r="R20" i="32"/>
  <c r="O20" i="32"/>
  <c r="H17" i="30"/>
  <c r="L17" i="30" s="1"/>
  <c r="M18" i="32"/>
  <c r="I18" i="15"/>
  <c r="E12" i="33"/>
  <c r="V19" i="7"/>
  <c r="E6" i="33"/>
  <c r="E6" i="31"/>
  <c r="E18" i="31" s="1"/>
  <c r="E15" i="35"/>
  <c r="U8" i="73"/>
  <c r="C6" i="58"/>
  <c r="I15" i="29"/>
  <c r="V19" i="8"/>
  <c r="G14" i="29"/>
  <c r="H14" i="29" s="1"/>
  <c r="I14" i="29" s="1"/>
  <c r="D11" i="30"/>
  <c r="W18" i="6"/>
  <c r="C9" i="67"/>
  <c r="AJ18" i="2"/>
  <c r="C15" i="30"/>
  <c r="G15" i="30" s="1"/>
  <c r="H18" i="2"/>
  <c r="C15" i="45"/>
  <c r="E15" i="45" s="1"/>
  <c r="F10" i="44"/>
  <c r="G10" i="44" s="1"/>
  <c r="C10" i="29"/>
  <c r="E10" i="29" s="1"/>
  <c r="E10" i="58"/>
  <c r="E10" i="70"/>
  <c r="D10" i="45"/>
  <c r="D6" i="31"/>
  <c r="D18" i="31" s="1"/>
  <c r="D6" i="33"/>
  <c r="V19" i="32"/>
  <c r="G9" i="44"/>
  <c r="H20" i="32"/>
  <c r="I20" i="32"/>
  <c r="E20" i="32"/>
  <c r="J20" i="32"/>
  <c r="T20" i="32"/>
  <c r="E11" i="30"/>
  <c r="E19" i="30" s="1"/>
  <c r="AA18" i="5"/>
  <c r="D12" i="48"/>
  <c r="AS18" i="14"/>
  <c r="K18" i="14"/>
  <c r="M8" i="32"/>
  <c r="U19" i="8"/>
  <c r="AH18" i="15"/>
  <c r="S20" i="32"/>
  <c r="C31" i="46"/>
  <c r="D7" i="35"/>
  <c r="E7" i="35"/>
  <c r="I8" i="30"/>
  <c r="L8" i="30" s="1"/>
  <c r="X18" i="6"/>
  <c r="E19" i="35"/>
  <c r="D21" i="35"/>
  <c r="D20" i="35"/>
  <c r="D19" i="35"/>
  <c r="U6" i="14"/>
  <c r="T18" i="14"/>
  <c r="U10" i="14"/>
  <c r="C226" i="47"/>
  <c r="F14" i="48"/>
  <c r="H14" i="33"/>
  <c r="E14" i="44"/>
  <c r="J8" i="30"/>
  <c r="J19" i="30" s="1"/>
  <c r="AB18" i="5"/>
  <c r="H9" i="67"/>
  <c r="I9" i="67" s="1"/>
  <c r="D18" i="14"/>
  <c r="M18" i="14"/>
  <c r="N18" i="14"/>
  <c r="F6" i="44"/>
  <c r="E6" i="58"/>
  <c r="T13" i="58"/>
  <c r="R13" i="58"/>
  <c r="AP13" i="15"/>
  <c r="AK5" i="15" s="1"/>
  <c r="F240" i="47" s="1"/>
  <c r="D9" i="79"/>
  <c r="T20" i="43"/>
  <c r="H7" i="30"/>
  <c r="O18" i="4"/>
  <c r="U8" i="14"/>
  <c r="U9" i="14"/>
  <c r="E18" i="14"/>
  <c r="U14" i="14"/>
  <c r="U16" i="14"/>
  <c r="E14" i="70"/>
  <c r="H14" i="70" s="1"/>
  <c r="E14" i="58"/>
  <c r="F14" i="44"/>
  <c r="D14" i="45"/>
  <c r="J18" i="15"/>
  <c r="D12" i="44"/>
  <c r="D15" i="33"/>
  <c r="G15" i="33" s="1"/>
  <c r="I15" i="33" s="1"/>
  <c r="D9" i="67"/>
  <c r="E6" i="67"/>
  <c r="L6" i="67"/>
  <c r="L9" i="67" s="1"/>
  <c r="D16" i="44"/>
  <c r="F7" i="30"/>
  <c r="H11" i="31" l="1"/>
  <c r="J11" i="31" s="1"/>
  <c r="G18" i="31"/>
  <c r="S13" i="58"/>
  <c r="H13" i="70"/>
  <c r="I13" i="70" s="1"/>
  <c r="G6" i="33"/>
  <c r="C229" i="47"/>
  <c r="F18" i="31"/>
  <c r="C12" i="58"/>
  <c r="C13" i="30"/>
  <c r="G13" i="30" s="1"/>
  <c r="J10" i="31"/>
  <c r="U7" i="73"/>
  <c r="AC6" i="5"/>
  <c r="Y6" i="6"/>
  <c r="K6" i="15"/>
  <c r="W7" i="7"/>
  <c r="Y8" i="43"/>
  <c r="V6" i="14"/>
  <c r="Q6" i="4"/>
  <c r="G6" i="44"/>
  <c r="E13" i="64"/>
  <c r="S17" i="58"/>
  <c r="S7" i="58"/>
  <c r="M17" i="58"/>
  <c r="S16" i="58"/>
  <c r="G15" i="70"/>
  <c r="E11" i="45"/>
  <c r="L11" i="58"/>
  <c r="N11" i="58"/>
  <c r="O11" i="58"/>
  <c r="K11" i="58"/>
  <c r="T11" i="58"/>
  <c r="Q11" i="58"/>
  <c r="J11" i="58"/>
  <c r="P11" i="58"/>
  <c r="R11" i="58"/>
  <c r="I11" i="58"/>
  <c r="G9" i="70"/>
  <c r="M8" i="58"/>
  <c r="M7" i="58"/>
  <c r="H6" i="29"/>
  <c r="I6" i="29" s="1"/>
  <c r="C15" i="32"/>
  <c r="C14" i="30"/>
  <c r="G14" i="30" s="1"/>
  <c r="K8" i="32"/>
  <c r="L8" i="32"/>
  <c r="F7" i="58"/>
  <c r="H7" i="58"/>
  <c r="G7" i="58"/>
  <c r="M16" i="2"/>
  <c r="D16" i="48"/>
  <c r="J16" i="48" s="1"/>
  <c r="C18" i="32"/>
  <c r="D16" i="58"/>
  <c r="C16" i="44"/>
  <c r="G16" i="44" s="1"/>
  <c r="C17" i="30"/>
  <c r="G17" i="30" s="1"/>
  <c r="C16" i="58"/>
  <c r="F10" i="58"/>
  <c r="H10" i="58"/>
  <c r="Y10" i="6"/>
  <c r="K10" i="15"/>
  <c r="U11" i="73"/>
  <c r="Q10" i="4"/>
  <c r="AC10" i="5"/>
  <c r="Y12" i="43"/>
  <c r="W11" i="7"/>
  <c r="Q10" i="20"/>
  <c r="V10" i="14"/>
  <c r="F6" i="58"/>
  <c r="H6" i="58"/>
  <c r="K12" i="32"/>
  <c r="J7" i="48"/>
  <c r="I7" i="48" s="1"/>
  <c r="H13" i="30"/>
  <c r="L13" i="30" s="1"/>
  <c r="M14" i="32"/>
  <c r="M20" i="32" s="1"/>
  <c r="D15" i="48"/>
  <c r="F17" i="58"/>
  <c r="G17" i="58"/>
  <c r="K19" i="32"/>
  <c r="L19" i="32"/>
  <c r="AC17" i="5"/>
  <c r="Q17" i="4"/>
  <c r="Y17" i="6"/>
  <c r="V17" i="14"/>
  <c r="U18" i="73"/>
  <c r="K17" i="15"/>
  <c r="Q17" i="20"/>
  <c r="Y19" i="43"/>
  <c r="W18" i="7"/>
  <c r="C12" i="44"/>
  <c r="G12" i="44" s="1"/>
  <c r="C14" i="32"/>
  <c r="D12" i="58"/>
  <c r="B13" i="35"/>
  <c r="E13" i="35" s="1"/>
  <c r="F227" i="47"/>
  <c r="C12" i="64"/>
  <c r="H12" i="64" s="1"/>
  <c r="C11" i="64"/>
  <c r="C13" i="65"/>
  <c r="D13" i="65" s="1"/>
  <c r="F237" i="47" s="1"/>
  <c r="G16" i="70"/>
  <c r="K10" i="48"/>
  <c r="L10" i="48" s="1"/>
  <c r="C233" i="47"/>
  <c r="C20" i="65"/>
  <c r="D20" i="65" s="1"/>
  <c r="F238" i="47" s="1"/>
  <c r="G12" i="70"/>
  <c r="C232" i="47"/>
  <c r="C231" i="47"/>
  <c r="C228" i="47"/>
  <c r="T19" i="73"/>
  <c r="S19" i="73"/>
  <c r="C18" i="33"/>
  <c r="C13" i="45"/>
  <c r="E13" i="45" s="1"/>
  <c r="F17" i="64"/>
  <c r="E17" i="64"/>
  <c r="H17" i="64"/>
  <c r="I17" i="64" s="1"/>
  <c r="F13" i="64"/>
  <c r="H13" i="64"/>
  <c r="I13" i="64" s="1"/>
  <c r="C17" i="45"/>
  <c r="E17" i="45" s="1"/>
  <c r="C7" i="45"/>
  <c r="E7" i="45" s="1"/>
  <c r="I17" i="70"/>
  <c r="H10" i="70"/>
  <c r="G10" i="70" s="1"/>
  <c r="J9" i="48"/>
  <c r="G7" i="70"/>
  <c r="I7" i="70"/>
  <c r="K12" i="48"/>
  <c r="G6" i="70"/>
  <c r="I6" i="70"/>
  <c r="I11" i="70"/>
  <c r="G11" i="70"/>
  <c r="C9" i="30"/>
  <c r="G9" i="30" s="1"/>
  <c r="D8" i="58"/>
  <c r="C10" i="32"/>
  <c r="C8" i="58"/>
  <c r="M8" i="2"/>
  <c r="C8" i="44"/>
  <c r="G8" i="44" s="1"/>
  <c r="D8" i="48"/>
  <c r="J8" i="48" s="1"/>
  <c r="I8" i="31"/>
  <c r="I18" i="31" s="1"/>
  <c r="D14" i="48"/>
  <c r="C14" i="58"/>
  <c r="D14" i="58"/>
  <c r="K18" i="2"/>
  <c r="AT19" i="73" s="1"/>
  <c r="M14" i="2"/>
  <c r="C16" i="32"/>
  <c r="H14" i="30"/>
  <c r="L14" i="30" s="1"/>
  <c r="M15" i="32"/>
  <c r="L18" i="2"/>
  <c r="D13" i="58"/>
  <c r="D13" i="48"/>
  <c r="C13" i="44"/>
  <c r="G13" i="44" s="1"/>
  <c r="C13" i="58"/>
  <c r="M13" i="2"/>
  <c r="L7" i="48"/>
  <c r="H6" i="31"/>
  <c r="J6" i="31" s="1"/>
  <c r="K9" i="48"/>
  <c r="F18" i="33"/>
  <c r="J17" i="48"/>
  <c r="K17" i="48"/>
  <c r="J9" i="31"/>
  <c r="I6" i="33"/>
  <c r="H11" i="58"/>
  <c r="G11" i="58"/>
  <c r="F11" i="58"/>
  <c r="C224" i="47"/>
  <c r="I14" i="33"/>
  <c r="H18" i="33"/>
  <c r="W13" i="7"/>
  <c r="U13" i="73"/>
  <c r="K12" i="15"/>
  <c r="Q12" i="20"/>
  <c r="V12" i="14"/>
  <c r="Y12" i="6"/>
  <c r="AC12" i="5"/>
  <c r="Q12" i="4"/>
  <c r="Y14" i="43"/>
  <c r="F15" i="64"/>
  <c r="I15" i="64"/>
  <c r="E15" i="64"/>
  <c r="H15" i="64"/>
  <c r="K6" i="48"/>
  <c r="J6" i="48"/>
  <c r="G8" i="33"/>
  <c r="I8" i="33" s="1"/>
  <c r="H15" i="58"/>
  <c r="G15" i="58"/>
  <c r="F15" i="58"/>
  <c r="V11" i="14"/>
  <c r="W12" i="7"/>
  <c r="AC11" i="5"/>
  <c r="K11" i="15"/>
  <c r="U12" i="73"/>
  <c r="Y11" i="6"/>
  <c r="Q11" i="20"/>
  <c r="Y13" i="43"/>
  <c r="Q11" i="4"/>
  <c r="J6" i="58"/>
  <c r="Q6" i="58"/>
  <c r="O6" i="58"/>
  <c r="P6" i="58"/>
  <c r="T6" i="58"/>
  <c r="K6" i="58"/>
  <c r="I6" i="58"/>
  <c r="L6" i="58"/>
  <c r="R6" i="58"/>
  <c r="N6" i="58"/>
  <c r="K9" i="15"/>
  <c r="W10" i="7"/>
  <c r="Y9" i="6"/>
  <c r="AC9" i="5"/>
  <c r="Q9" i="20"/>
  <c r="Q9" i="4"/>
  <c r="U10" i="73"/>
  <c r="V9" i="14"/>
  <c r="Y11" i="43"/>
  <c r="J14" i="48"/>
  <c r="K14" i="48"/>
  <c r="H9" i="58"/>
  <c r="G9" i="58"/>
  <c r="F9" i="58"/>
  <c r="M12" i="58"/>
  <c r="U17" i="32"/>
  <c r="V17" i="32"/>
  <c r="H8" i="31"/>
  <c r="C18" i="31"/>
  <c r="J12" i="48"/>
  <c r="L7" i="30"/>
  <c r="C10" i="64"/>
  <c r="C10" i="45"/>
  <c r="E10" i="45" s="1"/>
  <c r="C234" i="47"/>
  <c r="B4" i="66"/>
  <c r="C9" i="45"/>
  <c r="E9" i="45" s="1"/>
  <c r="C9" i="64"/>
  <c r="C6" i="64"/>
  <c r="C6" i="45"/>
  <c r="E6" i="45" s="1"/>
  <c r="U18" i="14"/>
  <c r="B4" i="46" s="1"/>
  <c r="F19" i="30"/>
  <c r="G7" i="30"/>
  <c r="C8" i="45"/>
  <c r="E8" i="45" s="1"/>
  <c r="C8" i="64"/>
  <c r="C236" i="47"/>
  <c r="V18" i="32"/>
  <c r="U18" i="32"/>
  <c r="E7" i="64"/>
  <c r="H7" i="64"/>
  <c r="I7" i="64" s="1"/>
  <c r="F7" i="64"/>
  <c r="V13" i="32"/>
  <c r="U13" i="32"/>
  <c r="J11" i="48"/>
  <c r="K11" i="48"/>
  <c r="C16" i="64"/>
  <c r="C16" i="45"/>
  <c r="E16" i="45" s="1"/>
  <c r="C14" i="45"/>
  <c r="E14" i="45" s="1"/>
  <c r="C14" i="64"/>
  <c r="U8" i="32"/>
  <c r="V8" i="32"/>
  <c r="D18" i="33"/>
  <c r="G12" i="33"/>
  <c r="I12" i="33" s="1"/>
  <c r="G14" i="44"/>
  <c r="G10" i="30"/>
  <c r="K17" i="32"/>
  <c r="L17" i="32"/>
  <c r="C230" i="47"/>
  <c r="G11" i="30"/>
  <c r="D19" i="30"/>
  <c r="R10" i="58"/>
  <c r="I10" i="58"/>
  <c r="O10" i="58"/>
  <c r="T10" i="58"/>
  <c r="P10" i="58"/>
  <c r="J10" i="58"/>
  <c r="N10" i="58"/>
  <c r="L10" i="58"/>
  <c r="K10" i="58"/>
  <c r="Q10" i="58"/>
  <c r="L11" i="32"/>
  <c r="K11" i="32"/>
  <c r="F235" i="47"/>
  <c r="I19" i="30"/>
  <c r="T14" i="58"/>
  <c r="O14" i="58"/>
  <c r="P14" i="58"/>
  <c r="Q14" i="58"/>
  <c r="J14" i="58"/>
  <c r="N14" i="58"/>
  <c r="K14" i="58"/>
  <c r="R14" i="58"/>
  <c r="L14" i="58"/>
  <c r="I14" i="58"/>
  <c r="I14" i="70"/>
  <c r="G14" i="70"/>
  <c r="H10" i="29"/>
  <c r="I10" i="29" s="1"/>
  <c r="G10" i="29"/>
  <c r="E9" i="67"/>
  <c r="E18" i="33"/>
  <c r="AC15" i="5"/>
  <c r="Y15" i="6"/>
  <c r="U16" i="73"/>
  <c r="K15" i="15"/>
  <c r="Q15" i="4"/>
  <c r="Y17" i="43"/>
  <c r="V15" i="14"/>
  <c r="W16" i="7"/>
  <c r="Q15" i="20"/>
  <c r="G13" i="70" l="1"/>
  <c r="J13" i="64"/>
  <c r="J17" i="64"/>
  <c r="M11" i="58"/>
  <c r="S11" i="58"/>
  <c r="F228" i="47"/>
  <c r="K16" i="48"/>
  <c r="L16" i="48" s="1"/>
  <c r="K16" i="15"/>
  <c r="V16" i="14"/>
  <c r="Q16" i="4"/>
  <c r="U17" i="73"/>
  <c r="Y16" i="6"/>
  <c r="AC16" i="5"/>
  <c r="Y18" i="43"/>
  <c r="Q16" i="20"/>
  <c r="W17" i="7"/>
  <c r="K15" i="48"/>
  <c r="J15" i="48"/>
  <c r="V14" i="32"/>
  <c r="U14" i="32"/>
  <c r="F12" i="58"/>
  <c r="H12" i="58"/>
  <c r="G12" i="58"/>
  <c r="K18" i="32"/>
  <c r="L18" i="32"/>
  <c r="K14" i="32"/>
  <c r="L14" i="32"/>
  <c r="K15" i="32"/>
  <c r="L15" i="32"/>
  <c r="H16" i="58"/>
  <c r="G16" i="58"/>
  <c r="F16" i="58"/>
  <c r="D13" i="35"/>
  <c r="F236" i="47" s="1"/>
  <c r="E12" i="64"/>
  <c r="F12" i="64" s="1"/>
  <c r="I12" i="64"/>
  <c r="E11" i="64"/>
  <c r="F11" i="64" s="1"/>
  <c r="H11" i="64"/>
  <c r="I11" i="64" s="1"/>
  <c r="I16" i="48"/>
  <c r="I10" i="48"/>
  <c r="C223" i="47"/>
  <c r="J7" i="64"/>
  <c r="S14" i="58"/>
  <c r="I12" i="48"/>
  <c r="I10" i="70"/>
  <c r="L14" i="48"/>
  <c r="F239" i="47"/>
  <c r="L9" i="48"/>
  <c r="I9" i="48"/>
  <c r="I6" i="48"/>
  <c r="C19" i="30"/>
  <c r="J8" i="31"/>
  <c r="F222" i="47" s="1"/>
  <c r="Q8" i="4"/>
  <c r="Y8" i="6"/>
  <c r="V8" i="14"/>
  <c r="AC8" i="5"/>
  <c r="K8" i="15"/>
  <c r="Y10" i="43"/>
  <c r="Q8" i="20"/>
  <c r="U9" i="73"/>
  <c r="W9" i="7"/>
  <c r="L10" i="32"/>
  <c r="K10" i="32"/>
  <c r="H8" i="58"/>
  <c r="F8" i="58"/>
  <c r="G8" i="58"/>
  <c r="K8" i="48"/>
  <c r="L8" i="48" s="1"/>
  <c r="H19" i="30"/>
  <c r="L19" i="30" s="1"/>
  <c r="F14" i="58"/>
  <c r="G14" i="58"/>
  <c r="H14" i="58"/>
  <c r="C20" i="32"/>
  <c r="K16" i="32"/>
  <c r="L16" i="32"/>
  <c r="W15" i="7"/>
  <c r="Q14" i="20"/>
  <c r="U15" i="73"/>
  <c r="Q14" i="4"/>
  <c r="V14" i="14"/>
  <c r="K14" i="15"/>
  <c r="AC14" i="5"/>
  <c r="Y16" i="43"/>
  <c r="Y14" i="6"/>
  <c r="Y13" i="6"/>
  <c r="Y15" i="43"/>
  <c r="W14" i="7"/>
  <c r="Q13" i="20"/>
  <c r="Q13" i="4"/>
  <c r="U14" i="73"/>
  <c r="V13" i="14"/>
  <c r="K13" i="15"/>
  <c r="AC13" i="5"/>
  <c r="K13" i="48"/>
  <c r="J13" i="48"/>
  <c r="G13" i="58"/>
  <c r="H13" i="58"/>
  <c r="F13" i="58"/>
  <c r="F230" i="47"/>
  <c r="AU19" i="73"/>
  <c r="C7" i="65"/>
  <c r="D7" i="65" s="1"/>
  <c r="C222" i="47"/>
  <c r="C5" i="65"/>
  <c r="D5" i="65" s="1"/>
  <c r="C6" i="65"/>
  <c r="D6" i="65" s="1"/>
  <c r="U15" i="32"/>
  <c r="V15" i="32"/>
  <c r="I11" i="48"/>
  <c r="L17" i="48"/>
  <c r="I17" i="48"/>
  <c r="S10" i="58"/>
  <c r="D19" i="46"/>
  <c r="D13" i="46"/>
  <c r="D29" i="46"/>
  <c r="D7" i="46"/>
  <c r="E6" i="46"/>
  <c r="D30" i="46"/>
  <c r="D20" i="46"/>
  <c r="D10" i="46"/>
  <c r="E25" i="46"/>
  <c r="E13" i="46"/>
  <c r="D6" i="46"/>
  <c r="D16" i="46"/>
  <c r="D14" i="46"/>
  <c r="D18" i="46"/>
  <c r="D9" i="46"/>
  <c r="D27" i="46"/>
  <c r="D21" i="46"/>
  <c r="D23" i="46"/>
  <c r="D12" i="46"/>
  <c r="D17" i="46"/>
  <c r="E22" i="46"/>
  <c r="D8" i="46"/>
  <c r="D24" i="46"/>
  <c r="D26" i="46"/>
  <c r="D25" i="46"/>
  <c r="D15" i="46"/>
  <c r="D11" i="46"/>
  <c r="E17" i="46"/>
  <c r="D28" i="46"/>
  <c r="D22" i="46"/>
  <c r="E23" i="46"/>
  <c r="F23" i="46" s="1"/>
  <c r="M14" i="58"/>
  <c r="F16" i="64"/>
  <c r="E16" i="64"/>
  <c r="H16" i="64"/>
  <c r="I16" i="64" s="1"/>
  <c r="M6" i="58"/>
  <c r="J15" i="64"/>
  <c r="M10" i="58"/>
  <c r="G19" i="30"/>
  <c r="L11" i="48"/>
  <c r="C235" i="47"/>
  <c r="B5" i="66"/>
  <c r="B28" i="66" s="1"/>
  <c r="B31" i="66" s="1"/>
  <c r="A2" i="66" s="1"/>
  <c r="I14" i="48"/>
  <c r="F231" i="47"/>
  <c r="H10" i="64"/>
  <c r="I10" i="64" s="1"/>
  <c r="E10" i="64"/>
  <c r="F10" i="64" s="1"/>
  <c r="F225" i="47"/>
  <c r="E21" i="46"/>
  <c r="F21" i="46" s="1"/>
  <c r="H6" i="64"/>
  <c r="I6" i="64" s="1"/>
  <c r="E6" i="64"/>
  <c r="F6" i="64" s="1"/>
  <c r="H18" i="31"/>
  <c r="J18" i="31" s="1"/>
  <c r="S6" i="58"/>
  <c r="L6" i="48"/>
  <c r="G18" i="33"/>
  <c r="I18" i="33" s="1"/>
  <c r="F14" i="64"/>
  <c r="E14" i="64"/>
  <c r="H14" i="64"/>
  <c r="I14" i="64" s="1"/>
  <c r="F8" i="64"/>
  <c r="H8" i="64"/>
  <c r="E8" i="64"/>
  <c r="I8" i="64"/>
  <c r="V20" i="32"/>
  <c r="U20" i="32"/>
  <c r="H9" i="64"/>
  <c r="I9" i="64" s="1"/>
  <c r="F9" i="64"/>
  <c r="E9" i="64"/>
  <c r="L12" i="48"/>
  <c r="I15" i="48" l="1"/>
  <c r="L15" i="48"/>
  <c r="J12" i="64"/>
  <c r="J11" i="64"/>
  <c r="J9" i="64"/>
  <c r="I8" i="48"/>
  <c r="L13" i="48"/>
  <c r="K20" i="32"/>
  <c r="L20" i="32"/>
  <c r="F224" i="47" s="1"/>
  <c r="I13" i="48"/>
  <c r="F232" i="47" s="1"/>
  <c r="J14" i="64"/>
  <c r="F223" i="47"/>
  <c r="J16" i="64"/>
  <c r="J6" i="64"/>
  <c r="F229" i="47"/>
  <c r="J10" i="64"/>
  <c r="J8" i="64"/>
  <c r="F233" i="47" l="1"/>
</calcChain>
</file>

<file path=xl/sharedStrings.xml><?xml version="1.0" encoding="utf-8"?>
<sst xmlns="http://schemas.openxmlformats.org/spreadsheetml/2006/main" count="1473" uniqueCount="718">
  <si>
    <t>Personale soggetto a turnazione (**) Personale indicato in T1</t>
  </si>
  <si>
    <t>Personale soggetto a reperibilità (**) Personale indicato in T1</t>
  </si>
  <si>
    <t>CONTRATTI PER RESA SERVIZI/ADEMPIMENTI OBBLIGATORI PER LEGGE</t>
  </si>
  <si>
    <t>L115</t>
  </si>
  <si>
    <t>j=(a+b+c+d-e-f-g-h-i)</t>
  </si>
  <si>
    <t>u=(l+m+n+o-p-q-r-s-t)</t>
  </si>
  <si>
    <t>unità per il calcolo delle assenze (*)</t>
  </si>
  <si>
    <t>Presenti per titolo di studio 
(Tab 9)</t>
  </si>
  <si>
    <t>T1</t>
  </si>
  <si>
    <t>SQ 1</t>
  </si>
  <si>
    <t>T2</t>
  </si>
  <si>
    <t>SQ 2</t>
  </si>
  <si>
    <t>T3</t>
  </si>
  <si>
    <t>SQ 3</t>
  </si>
  <si>
    <t>T4</t>
  </si>
  <si>
    <t>SQ 4</t>
  </si>
  <si>
    <t>T5</t>
  </si>
  <si>
    <t>T6</t>
  </si>
  <si>
    <t>T7</t>
  </si>
  <si>
    <t>IN 1</t>
  </si>
  <si>
    <t>T8</t>
  </si>
  <si>
    <t>IN 2</t>
  </si>
  <si>
    <t>T9</t>
  </si>
  <si>
    <t>IN 4</t>
  </si>
  <si>
    <t>IN 5</t>
  </si>
  <si>
    <t>T11</t>
  </si>
  <si>
    <t>IN 6</t>
  </si>
  <si>
    <t>T12</t>
  </si>
  <si>
    <t>IN 7</t>
  </si>
  <si>
    <t>T13</t>
  </si>
  <si>
    <t>T14</t>
  </si>
  <si>
    <t>T15</t>
  </si>
  <si>
    <t>Totale della Tabella T11</t>
  </si>
  <si>
    <t>Totale della Tabella T1</t>
  </si>
  <si>
    <t>Totale della Tabella T3 (personale esterno)</t>
  </si>
  <si>
    <t>Totale Usciti della Tabella T4</t>
  </si>
  <si>
    <t>Totale Entrati della Tabella T4</t>
  </si>
  <si>
    <t>Totale della Tabella T5</t>
  </si>
  <si>
    <t>Incongruenza 7</t>
  </si>
  <si>
    <t>Incongruenza           [se a&gt;0 e (b=0 e c=0 e d=0 e e=0 e f=0)]</t>
  </si>
  <si>
    <t>Incongruenza         [se a=0 e (b&gt;0 o c&gt;0 o d&gt;0 o e&gt;0 o f&gt;0)]</t>
  </si>
  <si>
    <t>Contratti di somministrazione (ex interinale)</t>
  </si>
  <si>
    <t>Contratti di somministrazione
(ex Interinale) (*)</t>
  </si>
  <si>
    <t>INDIRIZZO PAGINA WEB DELL'ENTE</t>
  </si>
  <si>
    <t>CONVENZIONI</t>
  </si>
  <si>
    <t>Passaggi ad altra Amministrazione dello stesso comparto (*)</t>
  </si>
  <si>
    <t>Passaggi ad altra Amministrazione di altro comparto (*)</t>
  </si>
  <si>
    <t>LAUREA BREVE</t>
  </si>
  <si>
    <t>SPECIALIZZAZIONE
POST LAUREA/ DOTTORATO DI RICERCA</t>
  </si>
  <si>
    <t>ALTRI TITOLI
POST LAUREA</t>
  </si>
  <si>
    <t>FORMAZIONE</t>
  </si>
  <si>
    <t>N U M E R O      D I     D I P E N D E N T I</t>
  </si>
  <si>
    <t>Cod.</t>
  </si>
  <si>
    <t>Uomini</t>
  </si>
  <si>
    <t>Donne</t>
  </si>
  <si>
    <t>TOTALE</t>
  </si>
  <si>
    <t>A tempo pieno</t>
  </si>
  <si>
    <t>FERIE</t>
  </si>
  <si>
    <t>N. gg</t>
  </si>
  <si>
    <t>FINO ALLA SCUOLA DELL'OBBLIGO</t>
  </si>
  <si>
    <t>LIC. MEDIA SUPERIORE</t>
  </si>
  <si>
    <t>LAUREA</t>
  </si>
  <si>
    <t>tra 25 e 29 anni</t>
  </si>
  <si>
    <t xml:space="preserve"> tra 30 e 34 anni</t>
  </si>
  <si>
    <t>tra 35 e 39 anni</t>
  </si>
  <si>
    <t>tra 40 e 44 anni</t>
  </si>
  <si>
    <t>tra 45 e 49 anni</t>
  </si>
  <si>
    <t>tra 50 e 54 anni</t>
  </si>
  <si>
    <t>tra 55 e 59 anni</t>
  </si>
  <si>
    <t>tra 60 e 64 anni</t>
  </si>
  <si>
    <t>U</t>
  </si>
  <si>
    <t>D</t>
  </si>
  <si>
    <t>tra 0 e 5 anni</t>
  </si>
  <si>
    <t>tra 6 e 10 anni</t>
  </si>
  <si>
    <t xml:space="preserve"> tra 11 e 15 anni</t>
  </si>
  <si>
    <t>tra 16 e 20 anni</t>
  </si>
  <si>
    <t>tra 21 e 25 anni</t>
  </si>
  <si>
    <t>tra 26 e 30 anni</t>
  </si>
  <si>
    <t>tra 31 e 35 anni</t>
  </si>
  <si>
    <t>tra 36 e 40 anni</t>
  </si>
  <si>
    <t>Altre cause</t>
  </si>
  <si>
    <t>FUORI RUOLO</t>
  </si>
  <si>
    <t>(*) Escluso il personale comandato e quello fuori ruolo</t>
  </si>
  <si>
    <t>Codice</t>
  </si>
  <si>
    <t>CATEGORIA</t>
  </si>
  <si>
    <t>Importo</t>
  </si>
  <si>
    <t>IRAP</t>
  </si>
  <si>
    <t>ALTRE SPESE</t>
  </si>
  <si>
    <t xml:space="preserve">Voci di spesa </t>
  </si>
  <si>
    <t xml:space="preserve"> </t>
  </si>
  <si>
    <t>TREDICESIMA MENSILTA'</t>
  </si>
  <si>
    <t>RECUPERI DERIVANTI DA ASSENZE, RITARDI, ECC.</t>
  </si>
  <si>
    <t>cod.</t>
  </si>
  <si>
    <t>DESCRIZIONE</t>
  </si>
  <si>
    <t>CODICE</t>
  </si>
  <si>
    <t>In part-time
fino al 50%</t>
  </si>
  <si>
    <t>In part-time
oltre il 50%</t>
  </si>
  <si>
    <t>A tempo determinato (*)</t>
  </si>
  <si>
    <t>Formazione lavoro (*)</t>
  </si>
  <si>
    <t>(*) dati su base annua</t>
  </si>
  <si>
    <t>(**) presenti al 31 dicembre anno corrente</t>
  </si>
  <si>
    <t xml:space="preserve">TOTALE
USCITI
</t>
  </si>
  <si>
    <t>qualifica/posizione economica/profilo</t>
  </si>
  <si>
    <t>qualifica / posiz.economica/profilo</t>
  </si>
  <si>
    <t>PERSONALE DELL'AMMINISTRAZIONE (* )</t>
  </si>
  <si>
    <t>PERSONALE ESTERNO ( ** )</t>
  </si>
  <si>
    <t>(**) Personale comandato e fuori ruolo da altre Amministrazioni</t>
  </si>
  <si>
    <t>qualifica/posiz. economica/profilo</t>
  </si>
  <si>
    <t>qualifica/posiz.economica/profilo</t>
  </si>
  <si>
    <t>STIPENDIO</t>
  </si>
  <si>
    <t>EROGAZIONE BUONI PASTO</t>
  </si>
  <si>
    <t>INDENNITA' DI MISSIONE E TRASFERIMENTO</t>
  </si>
  <si>
    <t>EQUO INDENNIZZO AL PERSONALE</t>
  </si>
  <si>
    <t>BENESSERE DEL PERSONALE</t>
  </si>
  <si>
    <t>FORMAZIONE DEL PERSONALE</t>
  </si>
  <si>
    <t>Qualifica/Posiz.economica/Profilo</t>
  </si>
  <si>
    <t>ASSEGNI PER IL NUCLEO FAMILIARE</t>
  </si>
  <si>
    <t xml:space="preserve">(**) dato pari alla somma del personale a tempo pieno + in part-time fino al 50% + in part-time oltre il 50% </t>
  </si>
  <si>
    <t xml:space="preserve">(*) Escluso il personale comandato e quello fuori ruolo </t>
  </si>
  <si>
    <t xml:space="preserve">TOTALE </t>
  </si>
  <si>
    <t>L005</t>
  </si>
  <si>
    <t>P015</t>
  </si>
  <si>
    <t>P016</t>
  </si>
  <si>
    <t>P062</t>
  </si>
  <si>
    <t>L105</t>
  </si>
  <si>
    <t>P065</t>
  </si>
  <si>
    <t>P071</t>
  </si>
  <si>
    <t>P055</t>
  </si>
  <si>
    <t>P058</t>
  </si>
  <si>
    <t>P061</t>
  </si>
  <si>
    <t>P090</t>
  </si>
  <si>
    <t>P030</t>
  </si>
  <si>
    <t>L010</t>
  </si>
  <si>
    <t>L011</t>
  </si>
  <si>
    <t>L020</t>
  </si>
  <si>
    <t>L090</t>
  </si>
  <si>
    <t>L100</t>
  </si>
  <si>
    <t>COPERTURE ASSICURATIVE</t>
  </si>
  <si>
    <t>L107</t>
  </si>
  <si>
    <t>L110</t>
  </si>
  <si>
    <t>TOTALE ENTRATI</t>
  </si>
  <si>
    <t>fino a 19 anni</t>
  </si>
  <si>
    <t>tra 20 e 24 anni</t>
  </si>
  <si>
    <t>ENTRATI in: qualifica/posizione economica/profilo</t>
  </si>
  <si>
    <t>ARRETRATI  ANNI PRECEDENTI</t>
  </si>
  <si>
    <t>NUMERO DI MENSILITA' (**)</t>
  </si>
  <si>
    <t>(*) gli importi vanno indicati in EURO, senza cifre decimali (cfr. circolare: "istruzioni generali e specifiche di comparto")</t>
  </si>
  <si>
    <t>(**) il numero delle mensilità va espresso con 2 cifre decimali (cfr. circolare: "istruzioni generali e specifiche di comparto ")</t>
  </si>
  <si>
    <t xml:space="preserve">COMANDATI / DISTACCATI </t>
  </si>
  <si>
    <t>ALTRE ASSENZE NON RETRIBUITE</t>
  </si>
  <si>
    <t>Coerenza</t>
  </si>
  <si>
    <t>Tot Cessati (Tab 5)</t>
  </si>
  <si>
    <t>Tot Entrati (Tab 4)</t>
  </si>
  <si>
    <t>Tot Usciti (Tab 4)</t>
  </si>
  <si>
    <t>A tempo determinato</t>
  </si>
  <si>
    <t>Formazione lavoro</t>
  </si>
  <si>
    <t>L.S.U</t>
  </si>
  <si>
    <t>Scostamento in valore assoluto</t>
  </si>
  <si>
    <t>Codici qualifiche</t>
  </si>
  <si>
    <t>Qualifiche</t>
  </si>
  <si>
    <t>a</t>
  </si>
  <si>
    <t>b</t>
  </si>
  <si>
    <t>c</t>
  </si>
  <si>
    <t>d</t>
  </si>
  <si>
    <t>e</t>
  </si>
  <si>
    <t>f=(a-b+c-d+e)</t>
  </si>
  <si>
    <t>g</t>
  </si>
  <si>
    <t>f=g</t>
  </si>
  <si>
    <t xml:space="preserve">Coerenza </t>
  </si>
  <si>
    <t>Presenti per classi di anzianità di servizio (Tab 7)</t>
  </si>
  <si>
    <t>Presenti per classi di età (Tab 8)</t>
  </si>
  <si>
    <t>Fuori ruolo esterni (IN) (Tab 3)</t>
  </si>
  <si>
    <t>Comandati esterni (IN)  (Tab 3)</t>
  </si>
  <si>
    <t>Fuori ruolo interni (OUT) (Tab 3)</t>
  </si>
  <si>
    <t>h</t>
  </si>
  <si>
    <t>i</t>
  </si>
  <si>
    <t>l</t>
  </si>
  <si>
    <t>m</t>
  </si>
  <si>
    <t>n</t>
  </si>
  <si>
    <t>p</t>
  </si>
  <si>
    <t>Cessati (Tab 5)</t>
  </si>
  <si>
    <t xml:space="preserve"> Assunti (Tab 6)</t>
  </si>
  <si>
    <t>Entrati (Tab 4)</t>
  </si>
  <si>
    <t>Usciti (Tab 4)</t>
  </si>
  <si>
    <t>f</t>
  </si>
  <si>
    <t>f&lt;=e</t>
  </si>
  <si>
    <t>a=b=c=d</t>
  </si>
  <si>
    <t>(e=f=g=h)</t>
  </si>
  <si>
    <t>Comandati interni (OUT) (Tab 3)</t>
  </si>
  <si>
    <t>(*) Solo per le tipologie tenute all'invio della TABELLA 10</t>
  </si>
  <si>
    <t>Totale personale distribuito per Regioni  (calcolato)</t>
  </si>
  <si>
    <t>e=(a-b+c+d)</t>
  </si>
  <si>
    <t xml:space="preserve">Consistenza nella qualifica </t>
  </si>
  <si>
    <t>Spesa (Tab 14)</t>
  </si>
  <si>
    <t>Compresenza</t>
  </si>
  <si>
    <t>Qualifica</t>
  </si>
  <si>
    <t>Mensilità (Tab 12)</t>
  </si>
  <si>
    <t>c=(b/a*12)</t>
  </si>
  <si>
    <t>e=(c-d)</t>
  </si>
  <si>
    <t>f=(e/d*100)</t>
  </si>
  <si>
    <t>Spesa per stipendio (Tab 12)</t>
  </si>
  <si>
    <t>Spesa media annua per stipendio (per 12 mensilità)</t>
  </si>
  <si>
    <t>Importi stipendiali contrattuali annui (per 12 mensilità)</t>
  </si>
  <si>
    <t>Scostamento percentuale</t>
  </si>
  <si>
    <t>(*) Personale comandato e fuori ruolo verso altre Amministrazioni</t>
  </si>
  <si>
    <t>Tot Assunti (Tab 6)</t>
  </si>
  <si>
    <t>Controlli di coerenza</t>
  </si>
  <si>
    <t>IMPORTI</t>
  </si>
  <si>
    <t>Codici spesa</t>
  </si>
  <si>
    <t>Importi comunicati (Tab 14)</t>
  </si>
  <si>
    <t>Incidenza percentuale: Importi comunicati Tab 14 / (Tabella 12 + Tabella 13)</t>
  </si>
  <si>
    <t>N U M E R O   D I   D I P E N D E N T I</t>
  </si>
  <si>
    <t xml:space="preserve">N U M E R O   D I   D I P E N D E N T I </t>
  </si>
  <si>
    <t xml:space="preserve">N U M E R O   D I   D I P E N D E N T I  </t>
  </si>
  <si>
    <t>N U M E R O   G I O R N I   D I   A S S E N Z A</t>
  </si>
  <si>
    <t xml:space="preserve">USCITI da: 
qualifica/posizione economica/profilo
</t>
  </si>
  <si>
    <t xml:space="preserve">Codice
</t>
  </si>
  <si>
    <t>V O C I   D I   S P E S A</t>
  </si>
  <si>
    <t>U O M I N I</t>
  </si>
  <si>
    <t>D O N N E</t>
  </si>
  <si>
    <t>Tavola di controllo degli usciti dalla qualifica di Tabella 4 (Squadratura 4)</t>
  </si>
  <si>
    <t>Tavola di congruenza tra spesa media annua per stipendio (Tabella 12) e importi stipendiali contrattuali</t>
  </si>
  <si>
    <t>Tavola di controllo dei valori di spesa di Tabella 14: incidenza % di ciascun valore sul totale delle spese di Tabella 12+Tabella 13</t>
  </si>
  <si>
    <t>TOTALE TABELLA 12 + TABELLA 13:</t>
  </si>
  <si>
    <t>PARTITA IVA DELL'ENTE</t>
  </si>
  <si>
    <t xml:space="preserve">CODICE FISCALE DELL'ENTE </t>
  </si>
  <si>
    <t>TELEFONO</t>
  </si>
  <si>
    <t xml:space="preserve">FAX </t>
  </si>
  <si>
    <t>E-MAIL</t>
  </si>
  <si>
    <t>INDIRIZZO</t>
  </si>
  <si>
    <t xml:space="preserve">VIA </t>
  </si>
  <si>
    <t>C.A.P.</t>
  </si>
  <si>
    <t>PRESIDENTE:</t>
  </si>
  <si>
    <t>COGNOME</t>
  </si>
  <si>
    <t>NOME</t>
  </si>
  <si>
    <t>COMPONENTI:</t>
  </si>
  <si>
    <t>I modelli debbono essere sottoscritti dai revisori dei conti</t>
  </si>
  <si>
    <t>Non compilare</t>
  </si>
  <si>
    <t>numero contratti</t>
  </si>
  <si>
    <t>numero unità</t>
  </si>
  <si>
    <t>S998</t>
  </si>
  <si>
    <t>S999</t>
  </si>
  <si>
    <t>T101</t>
  </si>
  <si>
    <t>E-Mail</t>
  </si>
  <si>
    <t>N° Civico</t>
  </si>
  <si>
    <t>F00</t>
  </si>
  <si>
    <t>SC1</t>
  </si>
  <si>
    <t>SS2</t>
  </si>
  <si>
    <t>Totale uomini e donne (Tab T5)</t>
  </si>
  <si>
    <t>Totale della Tabella T13</t>
  </si>
  <si>
    <t>TABELLE 12 -13 ASSENTI</t>
  </si>
  <si>
    <t>Totale usciti (Tab T4)</t>
  </si>
  <si>
    <t>Mensilità (Tab T12)</t>
  </si>
  <si>
    <t>Tavola di congruenza tra Presenti al 31-12 del totale  uomini e donne o Totale uomini e donne Tabella 5 e mensilità della Tabella T12</t>
  </si>
  <si>
    <t>Congruenza (se a&gt;0 o b&gt;0 o c&gt;0 e d&gt;0 )</t>
  </si>
  <si>
    <t>1.0</t>
  </si>
  <si>
    <t>ARRETRATI ANNI PRECEDENTI</t>
  </si>
  <si>
    <t>STRAORDINARIO</t>
  </si>
  <si>
    <t>NF</t>
  </si>
  <si>
    <t>Congruenza          ( a&gt;0 e b&gt;0)</t>
  </si>
  <si>
    <t>CITTA'                                                     PROV.</t>
  </si>
  <si>
    <t>TABELLE COMPILATE
(attenzione: la seguente sezione verrà compilata in automatico; all'atto dell'inserimento dei dati nel kit verrà annerita la relativa casella)</t>
  </si>
  <si>
    <t>Fino a 1 anno</t>
  </si>
  <si>
    <t>Da 1 a 2 anni</t>
  </si>
  <si>
    <t>Da 2 a 3 anni</t>
  </si>
  <si>
    <t>Oltre i 3 anni</t>
  </si>
  <si>
    <t>Uomo / Donna</t>
  </si>
  <si>
    <t>Tempo determinato</t>
  </si>
  <si>
    <t>TOTALE Tempo determinato</t>
  </si>
  <si>
    <t>Z01</t>
  </si>
  <si>
    <t>T2A</t>
  </si>
  <si>
    <t>Convenzioni esterni (IN) (Tab 3)</t>
  </si>
  <si>
    <t>Convenzioni interni (OUT) (Tab 3)</t>
  </si>
  <si>
    <t>o</t>
  </si>
  <si>
    <t>q</t>
  </si>
  <si>
    <t>r</t>
  </si>
  <si>
    <t>t</t>
  </si>
  <si>
    <t>Totale (Uomini + donne della sezione "Personale Esterno" COMANDATI / DISTACCATI + FUORI RUOLO+CONVENZIONI)+Mensilità medie da T12(mensilità /12)</t>
  </si>
  <si>
    <t>valore</t>
  </si>
  <si>
    <t xml:space="preserve">Assunzione per chiamata diretta (L. 68/99 - categorie protette) </t>
  </si>
  <si>
    <t xml:space="preserve">Assunzione per chiamata numerica (L. 68/99 - categorie protette) </t>
  </si>
  <si>
    <t>Passaggi da altra Amministrazione dello stesso comparto (*)</t>
  </si>
  <si>
    <t>Passaggi da altra Amministrazione di altro comparto (*)</t>
  </si>
  <si>
    <t>Tavola di controllo dei Valori Medi</t>
  </si>
  <si>
    <t>valori medi assenze</t>
  </si>
  <si>
    <r>
      <t xml:space="preserve">mensilità medie </t>
    </r>
    <r>
      <rPr>
        <b/>
        <sz val="7"/>
        <rFont val="Arial"/>
        <family val="2"/>
      </rPr>
      <t xml:space="preserve">
</t>
    </r>
    <r>
      <rPr>
        <sz val="7"/>
        <rFont val="Arial"/>
        <family val="2"/>
      </rPr>
      <t>(mensilità/12)</t>
    </r>
  </si>
  <si>
    <t>ASSENZE RETRIBUITE</t>
  </si>
  <si>
    <t>ASSENZE NON RETRIBUITE</t>
  </si>
  <si>
    <r>
      <t xml:space="preserve">TOTALE VOCI STIPENDIALI
TABELLA 12
</t>
    </r>
    <r>
      <rPr>
        <sz val="7"/>
        <rFont val="Small Fonts"/>
        <family val="2"/>
      </rPr>
      <t>(esclusi arr. anni prec. e recuperi)</t>
    </r>
  </si>
  <si>
    <t>INDENNITA' FISSE</t>
  </si>
  <si>
    <t>ALTRE ACCESSORIE</t>
  </si>
  <si>
    <r>
      <t xml:space="preserve">TOTALE INDENNITA' FISSE ED ACCESSORIE
TABELLA 13
</t>
    </r>
    <r>
      <rPr>
        <sz val="7"/>
        <rFont val="Small Fonts"/>
        <family val="2"/>
      </rPr>
      <t>(esclusi arretrati anni precedenti)</t>
    </r>
  </si>
  <si>
    <t>COMPONENTI COLLEGIO DEI REVISORI (O ORGANO EQUIVALENTE)</t>
  </si>
  <si>
    <t>RESPONSABILE DEL PROCEDIMENTO AMMINISTRATIVO DI CUI ALLA LEGGE 7/8/90, N. 241 CAPO II°</t>
  </si>
  <si>
    <t>Anzianità di servizio maturata al 31/12, anche in modo non continuativo, nell'attuale o in altre amministrazioni</t>
  </si>
  <si>
    <t>SCIOPERO</t>
  </si>
  <si>
    <t>Tavola di compresenza tra importi comunicati in tab.13 e mensilità (tab.12) o personale esterno (tab.3)</t>
  </si>
  <si>
    <t>INFORMAZIONI ISTITUZIONE</t>
  </si>
  <si>
    <t>DOMANDE PRESENTI IN CIRCOLARE</t>
  </si>
  <si>
    <t>Collocamento a riposo per limiti di età</t>
  </si>
  <si>
    <t>Passaggi per esternalizzazioni (*)</t>
  </si>
  <si>
    <t>ALTRE SPESE ACCESSORIE ED INDENNITA' VARIE</t>
  </si>
  <si>
    <t>Nomina da concorso</t>
  </si>
  <si>
    <t>C01</t>
  </si>
  <si>
    <t>C03</t>
  </si>
  <si>
    <t>C17</t>
  </si>
  <si>
    <t>C18</t>
  </si>
  <si>
    <t>C19</t>
  </si>
  <si>
    <t>C99</t>
  </si>
  <si>
    <t>A23</t>
  </si>
  <si>
    <t>A24</t>
  </si>
  <si>
    <t>A27</t>
  </si>
  <si>
    <t>A28</t>
  </si>
  <si>
    <t>A29</t>
  </si>
  <si>
    <t>A30</t>
  </si>
  <si>
    <t>A31</t>
  </si>
  <si>
    <t>Totale Risorse fisse</t>
  </si>
  <si>
    <t>Risorse variabili</t>
  </si>
  <si>
    <t>Totale Risorse variabili</t>
  </si>
  <si>
    <t>ALTRI PERMESSI ED ASSENZE RETRIBUITE</t>
  </si>
  <si>
    <t>ASS.RETRIB.:MATERNITA',CONGEDO PARENT.,MALATTIA FIGLIO</t>
  </si>
  <si>
    <t>LEGGE 104/92</t>
  </si>
  <si>
    <t>ASSENZE PER MALATTIA RETRIBUITE</t>
  </si>
  <si>
    <t>M04</t>
  </si>
  <si>
    <t>PR4</t>
  </si>
  <si>
    <t>PR5</t>
  </si>
  <si>
    <t>PR6</t>
  </si>
  <si>
    <t xml:space="preserve">GESTIONE MENSE </t>
  </si>
  <si>
    <t>SOMME CORRISPOSTE AD AGENZIA DI SOMMINISTRAZIONE(INTERINALI)</t>
  </si>
  <si>
    <t>RETRIBUZIONI PERSONALE  A TEMPO DETERMINATO</t>
  </si>
  <si>
    <t>RETRIBUZIONI PERSONALE CON CONTRATTO DI FORMAZIONE E LAVORO</t>
  </si>
  <si>
    <t>CONTRIBUTI A CARICO DELL'AMM.NE SU COMP. FISSE E ACCESSORIE</t>
  </si>
  <si>
    <t>QUOTE ANNUE ACCANTONAMENTO TFR O ALTRA IND. FINE SERVIZIO</t>
  </si>
  <si>
    <t>ONERI PER I CONTRATTI DI SOMMINISTRAZIONE(INTERINALI)</t>
  </si>
  <si>
    <t>P098</t>
  </si>
  <si>
    <r>
      <t>ANOMALIE RISCONTRATE</t>
    </r>
    <r>
      <rPr>
        <b/>
        <sz val="10"/>
        <rFont val="Arial"/>
        <family val="2"/>
      </rPr>
      <t xml:space="preserve">
(attenzione: la seguente sezione verrà compilata in automatico; all'atto dell'inserimento dei dati nel kit verranno evidenziate eventuali anomalie)</t>
    </r>
  </si>
  <si>
    <t>Congruenza (max scostamento consentito +/- 2%)</t>
  </si>
  <si>
    <t>v. a. di f&lt;=2%</t>
  </si>
  <si>
    <t>tra 41 e 43 anni</t>
  </si>
  <si>
    <t>44 e oltre</t>
  </si>
  <si>
    <t>tra 65 e 67 anni</t>
  </si>
  <si>
    <t>68 e oltre</t>
  </si>
  <si>
    <t>C25</t>
  </si>
  <si>
    <t>O10</t>
  </si>
  <si>
    <t>CONGEDI RETRIBUITI AI SENSI DELL'ART.42,C.5, DLGS 151/2001</t>
  </si>
  <si>
    <t>SOMME RIMBORSATE PER PERSONALE COMAND./FUORI RUOLO/IN CONV.</t>
  </si>
  <si>
    <t>ALTRE SOMME RIMBORSATE ALLE AMMINISTRAZIONI</t>
  </si>
  <si>
    <t>P074</t>
  </si>
  <si>
    <t>P099</t>
  </si>
  <si>
    <t>c=(b/a)</t>
  </si>
  <si>
    <t>f=(e/a)</t>
  </si>
  <si>
    <t>Incidenza percentuale arretrati a.p.</t>
  </si>
  <si>
    <t>Incidenza percentuale altre accessorie</t>
  </si>
  <si>
    <t>Incongruenza 8</t>
  </si>
  <si>
    <t>IN 8</t>
  </si>
  <si>
    <t>c&lt;=20%</t>
  </si>
  <si>
    <t>f&lt;=20%</t>
  </si>
  <si>
    <t>Congruenza (max incidenza consentita 20%)</t>
  </si>
  <si>
    <t>Tavola di controllo della spesa per "arretrati a.p." e "altre accessorie" di T13: incidenza % di ciascun valore sul totale di Tabella 13</t>
  </si>
  <si>
    <t>A015</t>
  </si>
  <si>
    <t>A035</t>
  </si>
  <si>
    <t>A045</t>
  </si>
  <si>
    <t>A070</t>
  </si>
  <si>
    <t>M000</t>
  </si>
  <si>
    <t>NOTE</t>
  </si>
  <si>
    <t>Voce di spesa (Tab 14)</t>
  </si>
  <si>
    <t>codice (Tab 14)</t>
  </si>
  <si>
    <t>Valore Medio Unitario:
b / a</t>
  </si>
  <si>
    <t>Incidenza % 
L105 / P062</t>
  </si>
  <si>
    <t>Compresenza 
e/o 
controllo incidenza %</t>
  </si>
  <si>
    <t>RIMBORSI RICEVUTI PER PERS. COMAND./FUORI RUOLO/IN CONV. (-)</t>
  </si>
  <si>
    <t>SOMME RICEVUTE DA U.E. E/O PRIVATI (-)</t>
  </si>
  <si>
    <t>ALTRI RIMBORSI RICEVUTI DALLE AMMINISTRAZIONI (-)</t>
  </si>
  <si>
    <t>(*)  gli importi vanno indicati in EURO, senza cifre decimali (cfr. circolare: "istruzioni generali e specifiche di comparto")</t>
  </si>
  <si>
    <r>
      <t xml:space="preserve">valori medi annui pro-capite per voci retributive a carattere "stipendiale" </t>
    </r>
    <r>
      <rPr>
        <sz val="8"/>
        <rFont val="Arial"/>
        <family val="2"/>
      </rPr>
      <t>(**)</t>
    </r>
  </si>
  <si>
    <r>
      <t>valori medi annui pro-capite per indennità e compensi accessori</t>
    </r>
    <r>
      <rPr>
        <sz val="8"/>
        <rFont val="Arial"/>
        <family val="2"/>
      </rPr>
      <t xml:space="preserve"> (**)</t>
    </r>
  </si>
  <si>
    <t>(**) Valore medio annuo pro-capite calcolato dividendo la spesa per le unità di riferimento (mensilità della T12 / 12)</t>
  </si>
  <si>
    <t>assenze in T11, ma nessuna unità in T1</t>
  </si>
  <si>
    <t xml:space="preserve">Controllo incidenza % L105 / P062  =&gt;  </t>
  </si>
  <si>
    <t>Incongruenza
[(a-gg formazione)&gt;(mens.T12/12*260)]</t>
  </si>
  <si>
    <t>AFAM</t>
  </si>
  <si>
    <t>PROFESSORI DI PRIMA FASCIA</t>
  </si>
  <si>
    <t>018P01</t>
  </si>
  <si>
    <t>DIRETTORE AMMINISTRATIVO EP2</t>
  </si>
  <si>
    <t>013504</t>
  </si>
  <si>
    <t>DIRETTORE DELL UFFICIO DI RAGIONERIA (EP1)</t>
  </si>
  <si>
    <t>013159</t>
  </si>
  <si>
    <t>013CTE</t>
  </si>
  <si>
    <t>012117</t>
  </si>
  <si>
    <t>011121</t>
  </si>
  <si>
    <t>PROFESSORI DI PRIMA FASCIA TEMPO DET.ANNUALE</t>
  </si>
  <si>
    <t>018PD1</t>
  </si>
  <si>
    <t>DIRETTORE AMMINISTRATIVO TEMPO DET.ANNUALE (EP2)</t>
  </si>
  <si>
    <t>013EP2</t>
  </si>
  <si>
    <t>013160</t>
  </si>
  <si>
    <t>013CDE</t>
  </si>
  <si>
    <t>012118</t>
  </si>
  <si>
    <t>011124</t>
  </si>
  <si>
    <t>PROFESSORI</t>
  </si>
  <si>
    <t>PR</t>
  </si>
  <si>
    <t>EP</t>
  </si>
  <si>
    <t>PERSONALE DELLE AREE</t>
  </si>
  <si>
    <t>PA</t>
  </si>
  <si>
    <t>IND. DI VACANZA CONTRATTUALE</t>
  </si>
  <si>
    <t>COMPENSO ORE ECCEDENTI</t>
  </si>
  <si>
    <t>C.I.A. COMP. INDIV. ACCESSORIO-INDENN. DIREZ. DSGA P. FISSA</t>
  </si>
  <si>
    <t>RETRIB. PROF.LE DOCENTI</t>
  </si>
  <si>
    <t>RETRIBUZIONE DI POSIZIONE</t>
  </si>
  <si>
    <t>RETRIBUZIONE DI POSIZIONE - QUOTA VARIABILE</t>
  </si>
  <si>
    <t>RETRIBUZIONE DI RISULTATO</t>
  </si>
  <si>
    <t>I422</t>
  </si>
  <si>
    <t>I131</t>
  </si>
  <si>
    <t>I152</t>
  </si>
  <si>
    <t>I155</t>
  </si>
  <si>
    <t>I207</t>
  </si>
  <si>
    <t>I507</t>
  </si>
  <si>
    <t>I212</t>
  </si>
  <si>
    <t>INDENNITA' DI ESAME</t>
  </si>
  <si>
    <t>ATTIVITA' AGGIUNTIVE</t>
  </si>
  <si>
    <t>IND. DI FUNZIONI SUP. E DI REGGENZA</t>
  </si>
  <si>
    <t>IND. DIREZIONE INCARIC. DELLA DIRIG.</t>
  </si>
  <si>
    <t>INDENNITA' DI AMMINISTRAZIONE</t>
  </si>
  <si>
    <t>S124</t>
  </si>
  <si>
    <t>S127</t>
  </si>
  <si>
    <t>S128</t>
  </si>
  <si>
    <t>S129</t>
  </si>
  <si>
    <t>S130</t>
  </si>
  <si>
    <t>AT</t>
  </si>
  <si>
    <t>F999</t>
  </si>
  <si>
    <t>F77F</t>
  </si>
  <si>
    <t>F78F</t>
  </si>
  <si>
    <t>F79F</t>
  </si>
  <si>
    <t>F80F</t>
  </si>
  <si>
    <t>F81F</t>
  </si>
  <si>
    <t>F82F</t>
  </si>
  <si>
    <t>F83F</t>
  </si>
  <si>
    <t>U839</t>
  </si>
  <si>
    <t>U841</t>
  </si>
  <si>
    <t>U842</t>
  </si>
  <si>
    <t>U998</t>
  </si>
  <si>
    <t>Indicare il numero di contratti per prestazioni professionali consistenti nella resa di servizi o adempimenti obbligatori per legge.</t>
  </si>
  <si>
    <t>Indicare il totale delle somme trattenute ai dipendenti nell'anno di rilevazione per le assenze per malattia in applicazione dell'art. 71 del D.L. n. 112 del 25/06/2008 convertito in L. 133/2008.</t>
  </si>
  <si>
    <t>Quanti sono i dipendenti al 31.12 in aspettativa per dottorato di ricerca con retribuzione a carico dell'amministrazione ai sensi dell’articolo 2 della legge 476/1984 e s.m.?</t>
  </si>
  <si>
    <t>Indicare il numero delle unita rilevate in tabella 1 tra i "presenti al 31.12" che risultavano titolari di permessi per legge n. 104/92.</t>
  </si>
  <si>
    <t>Indicare il numero delle unita rilevate in tabella 1 tra i "presenti al 31.12" che risultavano titolari di permessi ai sensi dell'art. 42, c.5 D.lgs.151/2001.</t>
  </si>
  <si>
    <t>T12 non compilata o assenze comunicate &gt; gg lavorabili (</t>
  </si>
  <si>
    <t>INDENNITA' ART.42, COMMA 5-TER, D.LGS. 151/2001</t>
  </si>
  <si>
    <t>COMPETENZE PERSONALE COMANDATO /DISTACCATO PRESSO L'AMM.NE</t>
  </si>
  <si>
    <t>I424</t>
  </si>
  <si>
    <t>S761</t>
  </si>
  <si>
    <t>Domande SI_1</t>
  </si>
  <si>
    <t>Unità annue
dichiarate in SI_1</t>
  </si>
  <si>
    <t>Totale presenti al
31-12 dichiarati in T1</t>
  </si>
  <si>
    <t>Controllo</t>
  </si>
  <si>
    <t>Assenze dichiarate</t>
  </si>
  <si>
    <t xml:space="preserve">Compresenza </t>
  </si>
  <si>
    <t>REFERENTE DA CONTATTARE</t>
  </si>
  <si>
    <t>VOCI DI SPESA RILEVATE</t>
  </si>
  <si>
    <t>IMPORTO SICO</t>
  </si>
  <si>
    <t>TABELLA 12</t>
  </si>
  <si>
    <t>A999</t>
  </si>
  <si>
    <t>TABELLA 13</t>
  </si>
  <si>
    <t>###</t>
  </si>
  <si>
    <t>ASSEGNI NUCLEO FAMILIARE</t>
  </si>
  <si>
    <t>GESTIONE MENSE</t>
  </si>
  <si>
    <t>CONTRATTI PER RESA SERVIZI /ADEMPIMENTI OBBLIGATORI PER LEGGE</t>
  </si>
  <si>
    <t xml:space="preserve">CONTRIBUTI A CARICO DELL'AMMINISTRAZIONE SU COMPETENZE FISSE ED ACCESSORIE </t>
  </si>
  <si>
    <t xml:space="preserve">IRAP </t>
  </si>
  <si>
    <t>SOMME RIMBORSATE ALLE AMMINISTRAZIONI PER SPESE DI PERSONALE (sommatoria dei diversi rimborsi presenti in tabella 14)</t>
  </si>
  <si>
    <t>P998</t>
  </si>
  <si>
    <t>TOTALE GENERALE</t>
  </si>
  <si>
    <t>RIMBORSI RICEVUTI  DALLE AMMINISTRAZIONI PER SPESE DI PERSONALE  (a riduzione) (sommatoria dei diversi rimborsi presenti in tabella 14)</t>
  </si>
  <si>
    <t>P999</t>
  </si>
  <si>
    <t>TOTALE GENERALE AL NETTO DEI RIMBORSI</t>
  </si>
  <si>
    <t>IMPORTO BILANCIO (*)</t>
  </si>
  <si>
    <t>TRC</t>
  </si>
  <si>
    <t>NOTE: Elenco Istituzioni ed importi dei rimborsi effettuati (**)</t>
  </si>
  <si>
    <t>NOTE: Elenco Istituzioni ed importi dei rimborsi ricevuti (***)</t>
  </si>
  <si>
    <t>(**) campo riservato all'inserimento delle informazioni di dettaglio (nome Istituzione ed importo) riguardanti i rimborsi effettuati (P071, P074). Eventuali note su altre voci di spesa dovranno essere immesse nel campo "note e chiarimenti" della SI_1</t>
  </si>
  <si>
    <t>(***) campo riservato all'inserimento delle informazioni di dettaglio (nome Istituzione ed importo) riguardanti i rimborsi ricevuti (P090, P098, P099). Eventuali note su altre voci di spesa dovranno essere immesse nel campo "note e chiarimenti" della SI_1</t>
  </si>
  <si>
    <t>SOMME CORRISPOSTE AD AGENZIA DI SOMMINISTRAZIONE (INTERINALI)</t>
  </si>
  <si>
    <t>ONERI PER I CONTRATTI DI SOMMINISTRAZIONE (INTERINALI)</t>
  </si>
  <si>
    <t xml:space="preserve">RETRIBUZIONI PERSONALE A TEMPO DETERMINATO </t>
  </si>
  <si>
    <t>QUOTE ANNUE DI ACCANTONAMENTO  TFR O ALTRA INDENNITA'  FINE SERVIZIO</t>
  </si>
  <si>
    <t>COMPENSI PER PERSONALE ADDETTO A LAVORI SOCIALMENTE UTILI</t>
  </si>
  <si>
    <t>C21</t>
  </si>
  <si>
    <t>A35</t>
  </si>
  <si>
    <t>CONTRIBUTI A CARICO DELL'AMM.NE PER FONDI PREV. COMPLEMENTARE</t>
  </si>
  <si>
    <t>P035</t>
  </si>
  <si>
    <t>Si</t>
  </si>
  <si>
    <t>No</t>
  </si>
  <si>
    <r>
      <rPr>
        <b/>
        <sz val="7"/>
        <rFont val="Helv"/>
      </rPr>
      <t>IRAP</t>
    </r>
    <r>
      <rPr>
        <sz val="7"/>
        <rFont val="Helv"/>
      </rPr>
      <t xml:space="preserve">
</t>
    </r>
    <r>
      <rPr>
        <b/>
        <sz val="7"/>
        <rFont val="Helv"/>
      </rPr>
      <t>Commerciale</t>
    </r>
  </si>
  <si>
    <t>Coerenza T1 con personale T3 OUT</t>
  </si>
  <si>
    <t>a&gt;=(e+f+g+h+i)</t>
  </si>
  <si>
    <t>l&gt;=(p+q+r+s+t)</t>
  </si>
  <si>
    <t>sono presenti unità in T1 o personale esterno in T3, ma non assenze in T11</t>
  </si>
  <si>
    <t>F96H</t>
  </si>
  <si>
    <t>Totale Fondo d'istituto</t>
  </si>
  <si>
    <t>ATTENZIONE: Per gli Enti che non sono tenuti all’invio della Tabella 10, la Tavola va considerata con riferimento al diagnostico della colonna “Coerenza T1 con personale T3 OUT”</t>
  </si>
  <si>
    <t>Risorse variabili da privati</t>
  </si>
  <si>
    <t>Quote vincolate/storiche personale EP</t>
  </si>
  <si>
    <t>Quote vincolate/storiche personale docente</t>
  </si>
  <si>
    <t>Altri istituti non compresi fra i precedenti</t>
  </si>
  <si>
    <t>Personale stabilizzato da LSU/LPU</t>
  </si>
  <si>
    <t>COMPENSI PER PERSONALE LSU/LPU</t>
  </si>
  <si>
    <t>NOTE E CHIARIMENTI ALLA RILEVAZIONE
(max 1500 caratteri)</t>
  </si>
  <si>
    <t xml:space="preserve">Tavola di congruenza tra il personale a Tempo Determinato comunicato in T2 con la ripartizione dello stesso personale comunicato in T2A
</t>
  </si>
  <si>
    <t>Totale T2</t>
  </si>
  <si>
    <t>Totale T2A</t>
  </si>
  <si>
    <t>Confronto T2/T2A</t>
  </si>
  <si>
    <t>U+D</t>
  </si>
  <si>
    <t>a con d</t>
  </si>
  <si>
    <t>b con e</t>
  </si>
  <si>
    <t>IN 10</t>
  </si>
  <si>
    <r>
      <t xml:space="preserve">COGNOME </t>
    </r>
    <r>
      <rPr>
        <b/>
        <sz val="12"/>
        <rFont val="Arial"/>
        <family val="2"/>
      </rPr>
      <t>*</t>
    </r>
  </si>
  <si>
    <r>
      <t xml:space="preserve">NOME </t>
    </r>
    <r>
      <rPr>
        <b/>
        <sz val="12"/>
        <rFont val="Arial"/>
        <family val="2"/>
      </rPr>
      <t>*</t>
    </r>
  </si>
  <si>
    <r>
      <t xml:space="preserve">E-Mail </t>
    </r>
    <r>
      <rPr>
        <b/>
        <sz val="12"/>
        <rFont val="Arial"/>
        <family val="2"/>
      </rPr>
      <t>*</t>
    </r>
  </si>
  <si>
    <r>
      <rPr>
        <sz val="8"/>
        <rFont val="Arial"/>
        <family val="2"/>
      </rPr>
      <t xml:space="preserve">TELEFONO </t>
    </r>
    <r>
      <rPr>
        <b/>
        <sz val="12"/>
        <rFont val="Arial"/>
        <family val="2"/>
      </rPr>
      <t>*</t>
    </r>
  </si>
  <si>
    <t>(sono evidenziate quelle valorizzate nella T1)</t>
  </si>
  <si>
    <t>(sono evidenziate le qualifiche valorizzate per l'anno)</t>
  </si>
  <si>
    <t>Risoluz. rapporto di lavoro</t>
  </si>
  <si>
    <t>Somme
dichiarate in SI_1</t>
  </si>
  <si>
    <t>DIRETTORE DELL UFFICIO DI RAGIONERIA TEMPO DET.ANNUALE (EP1)</t>
  </si>
  <si>
    <t>F27I</t>
  </si>
  <si>
    <t>ASSEGNO AD PERSONAM</t>
  </si>
  <si>
    <t>I418</t>
  </si>
  <si>
    <t xml:space="preserve"> Incongruenza 1</t>
  </si>
  <si>
    <t>Tavola di compresenza tra valori di organico di personale con rapporto di lavoro flessibile di Scheda Informativa 1 e relativa spesa di Tabella 14</t>
  </si>
  <si>
    <t>Tipologia lavoro flessibile (SI_1)</t>
  </si>
  <si>
    <t>Unità annue 
(SI_1)</t>
  </si>
  <si>
    <t xml:space="preserve"> Incongruenza 11</t>
  </si>
  <si>
    <t>Tavola di compresenza tra valori di organico di personale con rapporto di lavoro flessibile di Tabella 2 e relativa spesa di Tabella 14</t>
  </si>
  <si>
    <t>Tipologia lavoro flessibile (Tab 2)</t>
  </si>
  <si>
    <t>Unità annue 
(Tab 2)</t>
  </si>
  <si>
    <t>Tavola di coerenza tra valori dichiarati in SI_1 come appartenenti a categorie protette, titolari di permessi per legge n. 104/92, titolari di permessi ai sensi dell'art. 42, comma 5 d.lgs. 151/2001, con il personale indicato in  Tab. 1</t>
  </si>
  <si>
    <t xml:space="preserve"> Incongruenza 12</t>
  </si>
  <si>
    <t xml:space="preserve">Tavola di compresenza tra valori dichiarati nella SI_1 come titolari di permessi per legge n. 104/92 e titolari di permessi ai sensi dell'art. 42, comma 5 d.lgs. 151/2001, con le giornate di assenza indicate in Tab. 11 </t>
  </si>
  <si>
    <t xml:space="preserve"> Incongruenza 13</t>
  </si>
  <si>
    <t>Tavola di compresenza tra le somme trattenute per malattia indicate nella SI_1 e i giorni di assenza per malattia retribuita indicati nella Tab. 11</t>
  </si>
  <si>
    <t>Tavola di congruenza tra i giorni di assenza indicati nella Tabella 11 e i valori di organico inseriti nelle Tabelle 1, 3, 4, 5 (incongruenza 7)</t>
  </si>
  <si>
    <t xml:space="preserve">Tavola di congruenza tra i giorni totali pro-capite di assenza (escluse assenze per formazione e quelle non retribuite) calcolati dai valori indicati nella Tabella 11, con il numero MAX dei gg lavorativi annui
</t>
  </si>
  <si>
    <t>Totale della Tabella T11 esclusa formazione e altre ass. non retribuite</t>
  </si>
  <si>
    <t>Mensilità/12</t>
  </si>
  <si>
    <t>Incongruenza 14</t>
  </si>
  <si>
    <t>IN 11</t>
  </si>
  <si>
    <t>IN 12</t>
  </si>
  <si>
    <t>IN 13</t>
  </si>
  <si>
    <t>IN 14</t>
  </si>
  <si>
    <r>
      <t>*(asterisco): si intende campo obbligatorio</t>
    </r>
    <r>
      <rPr>
        <sz val="9"/>
        <rFont val="Arial"/>
        <family val="2"/>
      </rPr>
      <t/>
    </r>
  </si>
  <si>
    <t>SQUADRATURA 9</t>
  </si>
  <si>
    <t>Risorse / Costituzione del fondo</t>
  </si>
  <si>
    <t>Impeghi / Importi erogati</t>
  </si>
  <si>
    <t>Risorse fisse aventi carattere di certezza e stabilità</t>
  </si>
  <si>
    <t>Fondo</t>
  </si>
  <si>
    <t>Natura</t>
  </si>
  <si>
    <t>Voce</t>
  </si>
  <si>
    <t>Dato</t>
  </si>
  <si>
    <t>INCONGRUENZA 15</t>
  </si>
  <si>
    <t>Fondo dell'istituzione scolastica</t>
  </si>
  <si>
    <t>PERSONALE IN ASPETTATIVA</t>
  </si>
  <si>
    <t>R.I.A.</t>
  </si>
  <si>
    <t>A031</t>
  </si>
  <si>
    <t>A032</t>
  </si>
  <si>
    <t>STIPENDIO 
più I.I.S</t>
  </si>
  <si>
    <t>Personale in aspettativa (OUT)
(Tab 3)</t>
  </si>
  <si>
    <t>Decurtazioni</t>
  </si>
  <si>
    <t>F00P</t>
  </si>
  <si>
    <t>F01P</t>
  </si>
  <si>
    <t>Totale Decurtazioni</t>
  </si>
  <si>
    <t>INCONGRUENZA 9</t>
  </si>
  <si>
    <t>Quote contrattate personale docente</t>
  </si>
  <si>
    <t>U836</t>
  </si>
  <si>
    <t>U837</t>
  </si>
  <si>
    <t>U838</t>
  </si>
  <si>
    <t>IN 9</t>
  </si>
  <si>
    <t>N U M E R O   DI   D I P E N D E N T I</t>
  </si>
  <si>
    <t>LSU/LPU/ASU(*)</t>
  </si>
  <si>
    <t>A41</t>
  </si>
  <si>
    <t>COADIUTORE AREA I TEMPO DET.ANNUALE</t>
  </si>
  <si>
    <t xml:space="preserve">Art 40 c 3-q DLgs 165/2001 - Dec. anno per piani di recup. </t>
  </si>
  <si>
    <t>F01S</t>
  </si>
  <si>
    <t>Art 1 c 456 L 147/2013 - Decurtazione permanente</t>
  </si>
  <si>
    <t>Art 23 c 2 DLGS 75/2017 - Dec. fondo rispetto limite 2016</t>
  </si>
  <si>
    <t>Art 16 cc 4-5-6 DL 98/11 - Risp. piani razionalizzazione</t>
  </si>
  <si>
    <t>Quote vincolate/storiche personale ATA</t>
  </si>
  <si>
    <t>Quote contrattate personale EP</t>
  </si>
  <si>
    <t>Quote contrattate personale ATA</t>
  </si>
  <si>
    <t>Risorse carattere certezza e stabilità da EELL e altri enti</t>
  </si>
  <si>
    <t>Risorse variabili da EELL e altri enti</t>
  </si>
  <si>
    <t>Risorse variabili da Unione Europea</t>
  </si>
  <si>
    <t>COLLABORATORE AREA III</t>
  </si>
  <si>
    <t>ASSISTENTE AREA II</t>
  </si>
  <si>
    <t>COADIUTORE AREA I</t>
  </si>
  <si>
    <t>COLLABORATORE AREA III TEMPO DET. ANNUALE</t>
  </si>
  <si>
    <t>ASSISTENTE AREA II TEMPO DET. ANNUALE</t>
  </si>
  <si>
    <t xml:space="preserve">Licenziamenti disposti dall’ente </t>
  </si>
  <si>
    <t>IN 17</t>
  </si>
  <si>
    <t xml:space="preserve">Numero
Inc.
</t>
  </si>
  <si>
    <r>
      <rPr>
        <b/>
        <sz val="8"/>
        <color indexed="10"/>
        <rFont val="Arial"/>
        <family val="2"/>
      </rPr>
      <t xml:space="preserve">Incongruenza
17
</t>
    </r>
    <r>
      <rPr>
        <b/>
        <sz val="8"/>
        <rFont val="Arial"/>
        <family val="2"/>
      </rPr>
      <t xml:space="preserve">
Controllare RIA e Progressione per scatti</t>
    </r>
  </si>
  <si>
    <t>RIA</t>
  </si>
  <si>
    <t>Progressioni</t>
  </si>
  <si>
    <t>no</t>
  </si>
  <si>
    <t>si</t>
  </si>
  <si>
    <t>SQUADRATURA 5</t>
  </si>
  <si>
    <t>SCHEDA UNIFICATA EX ART. 40 BIS, COMMA 3 DEL D.LGS. N.165/2001:</t>
  </si>
  <si>
    <t>"SPECIFICHE INFORMAZIONI SULLA CONTRATTAZIONE INTEGRATIVA"</t>
  </si>
  <si>
    <t>INCONGRUENZA 16</t>
  </si>
  <si>
    <t>Non operativa</t>
  </si>
  <si>
    <t>Contatore</t>
  </si>
  <si>
    <t>INF</t>
  </si>
  <si>
    <t>INFORMAZIONI / CHIARIMENTI</t>
  </si>
  <si>
    <t>INF209</t>
  </si>
  <si>
    <t>Informazioni/chiarimenti da parte dell'Organo di controllo (max 1.500 caratteri)</t>
  </si>
  <si>
    <t>INF127</t>
  </si>
  <si>
    <t>Informazioni/chiarimenti da parte dell'Amministrazione (max 1.500 caratteri)</t>
  </si>
  <si>
    <t>Tavola di controllo del rispetto del limite 2016 di cui all'art. 23, comma 2 del decreto legislativo n. 75/2017</t>
  </si>
  <si>
    <t>SQUADRATURA 6</t>
  </si>
  <si>
    <t>Tavola di congruenza delle  voci non soggette alla verifica del limite 2016 di cui all'articolo 23,</t>
  </si>
  <si>
    <t>comma 2, del decreto legislativo n. 75/2017 (schede SICI e tabelle 15)</t>
  </si>
  <si>
    <t>Destinazioni erogate per prestazioni rese nell'anno di riferimento</t>
  </si>
  <si>
    <t>Totale Destinazioni erogate per prestazioni rese nell'anno di riferimento</t>
  </si>
  <si>
    <t>MACROCATEGORIA: PERSONALE DOCENTE E PERSONALE TECNICO AMMINISTRATIVO</t>
  </si>
  <si>
    <t>Personale docente e personale tecnico amministrativo</t>
  </si>
  <si>
    <t>SICI</t>
  </si>
  <si>
    <t>NO</t>
  </si>
  <si>
    <t>Dimissioni con diritto a pensione</t>
  </si>
  <si>
    <t>SEGNALAZIONE - nuovo controllo</t>
  </si>
  <si>
    <t>F16L</t>
  </si>
  <si>
    <t>Altre risorse non comprese fra le precedenti</t>
  </si>
  <si>
    <t>F00O</t>
  </si>
  <si>
    <t>Altre decurtazioni non comprese fra le precedenti</t>
  </si>
  <si>
    <t>TOTALE GENERALE RISORSE</t>
  </si>
  <si>
    <t>TOTALE GENERALE IMPIEGHI EROGATI</t>
  </si>
  <si>
    <t>MACROCATEGORIA</t>
  </si>
  <si>
    <t>INCONGRUENZA 3</t>
  </si>
  <si>
    <t>Art 11 c 1 L B DL 135/18 - Incr acc ass deroga fac ass.li</t>
  </si>
  <si>
    <r>
      <t>Costituzione fondi per il trattamento accessorio</t>
    </r>
    <r>
      <rPr>
        <sz val="10"/>
        <rFont val="Arial"/>
        <family val="2"/>
      </rPr>
      <t xml:space="preserve"> </t>
    </r>
    <r>
      <rPr>
        <vertAlign val="superscript"/>
        <sz val="10"/>
        <rFont val="Arial"/>
        <family val="2"/>
      </rPr>
      <t>(1)</t>
    </r>
  </si>
  <si>
    <r>
      <t xml:space="preserve">Destinazione fondi per il trattamento accessorio </t>
    </r>
    <r>
      <rPr>
        <vertAlign val="superscript"/>
        <sz val="10"/>
        <rFont val="Arial"/>
        <family val="2"/>
      </rPr>
      <t>(1)</t>
    </r>
  </si>
  <si>
    <t>SQUADRATURA 8</t>
  </si>
  <si>
    <t>Tavola di congruenza della retribuzione di posizione</t>
  </si>
  <si>
    <t>Il personale a Tempo determinato è cessato il 31/12?</t>
  </si>
  <si>
    <t>Smart working (**)
Personale indicato in T1</t>
  </si>
  <si>
    <t>Telelavoro (**)
Personale indicato in T1</t>
  </si>
  <si>
    <t>Coworking (**)
Personale indicato in T1</t>
  </si>
  <si>
    <t>Lavoro Agile (**)</t>
  </si>
  <si>
    <t>Telelavoro (**)</t>
  </si>
  <si>
    <t>Coworking (**)</t>
  </si>
  <si>
    <t>Personale soggetto a turnazione (**)</t>
  </si>
  <si>
    <t>Personale soggetto a reperibilità (**)</t>
  </si>
  <si>
    <t>PERSONALE ELEVATE PROFESSIONALITA'</t>
  </si>
  <si>
    <t>Quante persone sono state assunte nell’anno a tempo determinato con le risorse del PNRR?</t>
  </si>
  <si>
    <t>Quante persone sono state assunte nell’anno con altre forme flessibili di lavoro (ex interinali, LSU, formazione lavoro) con le risorse del PNRR?</t>
  </si>
  <si>
    <t>Dimissioni senza diritto a pensione</t>
  </si>
  <si>
    <t>C28</t>
  </si>
  <si>
    <t>Personale stabilizzato ex Art. 35, c.3-Bis, DLGS 165/01</t>
  </si>
  <si>
    <t>Personale stabilizzato ex art. 20 D.Lgs.75/2017</t>
  </si>
  <si>
    <t>Z02</t>
  </si>
  <si>
    <t>LAVORO A DISTANZA</t>
  </si>
  <si>
    <t>con 7 differenziali stipendiali</t>
  </si>
  <si>
    <t>qualifica / posiz.economica / profilo</t>
  </si>
  <si>
    <t>L111</t>
  </si>
  <si>
    <t>L112</t>
  </si>
  <si>
    <t>CONTRATTI DI COLLABORAZIONE PROFESSIONALE</t>
  </si>
  <si>
    <t>INCARICHI DI STUDIO/RICERCA/CONSULENZA</t>
  </si>
  <si>
    <t>Indicare il numero dei contratti di collaborazioni professionali.</t>
  </si>
  <si>
    <t>Quante persone sono state impiegate nell'anno (a tempo determinato, con  collaborazioni professionali o con incarichi) il cui costo e totalmente sostenuto con finanziamenti esterni dell'unione europea o di privati?</t>
  </si>
  <si>
    <t>Con quante persone sono stati sottoscritti contratti di collaborazioni professionali e incarichi nell’anno con le risorse del PNRR?</t>
  </si>
  <si>
    <t>1E</t>
  </si>
  <si>
    <t>Indicare il numero degli incarichi di studio, ricerca e consulenza.</t>
  </si>
  <si>
    <t>Personale con contratti di Collaborazioni Professionali</t>
  </si>
  <si>
    <t>PROGRESSIONE CLASSI E SCATTI / FASCE / DIFFERENZIALI STIPENDIALI</t>
  </si>
  <si>
    <t>Controllo con T1</t>
  </si>
  <si>
    <r>
      <t>Art 71 c 1 Ccnl 02-05 - Risorse storiche 2003 e increm Ccnl</t>
    </r>
    <r>
      <rPr>
        <vertAlign val="superscript"/>
        <sz val="8"/>
        <rFont val="Arial"/>
        <family val="2"/>
      </rPr>
      <t xml:space="preserve"> (2)</t>
    </r>
  </si>
  <si>
    <r>
      <t>Art. 8 c 1 Ccnl 04-05 - Incrementi Fondo Istituto</t>
    </r>
    <r>
      <rPr>
        <vertAlign val="superscript"/>
        <sz val="8"/>
        <rFont val="Arial"/>
        <family val="2"/>
      </rPr>
      <t xml:space="preserve"> (2)</t>
    </r>
  </si>
  <si>
    <r>
      <t>Art 17 c 1 Ccnl 06-09 - Incrementi Fondo Istituto</t>
    </r>
    <r>
      <rPr>
        <vertAlign val="superscript"/>
        <sz val="8"/>
        <rFont val="Arial"/>
        <family val="2"/>
      </rPr>
      <t xml:space="preserve"> (2)</t>
    </r>
  </si>
  <si>
    <t>F26P</t>
  </si>
  <si>
    <t>F26Q</t>
  </si>
  <si>
    <t>F26R</t>
  </si>
  <si>
    <t>F26S</t>
  </si>
  <si>
    <t>F24O</t>
  </si>
  <si>
    <t>Somme non utilizzate fondo/i anno precedente</t>
  </si>
  <si>
    <r>
      <rPr>
        <vertAlign val="superscript"/>
        <sz val="8"/>
        <rFont val="Arial"/>
        <family val="2"/>
      </rPr>
      <t>(1)</t>
    </r>
    <r>
      <rPr>
        <sz val="8"/>
        <rFont val="Arial"/>
        <family val="2"/>
      </rPr>
      <t xml:space="preserve"> Tutti gli importi vanno indicati in euro e al netto degli oneri sociali (contributi ed IRAP) a carico del datore di lavoro.</t>
    </r>
  </si>
  <si>
    <r>
      <rPr>
        <vertAlign val="superscript"/>
        <sz val="8"/>
        <rFont val="Arial"/>
        <family val="2"/>
      </rPr>
      <t>(2)</t>
    </r>
    <r>
      <rPr>
        <sz val="8"/>
        <rFont val="Arial"/>
        <family val="2"/>
      </rPr>
      <t xml:space="preserve"> Voce da compilarsi solo in caso di Istituto pareggiato.</t>
    </r>
  </si>
  <si>
    <r>
      <rPr>
        <vertAlign val="superscript"/>
        <sz val="8"/>
        <rFont val="Arial"/>
        <family val="2"/>
      </rPr>
      <t xml:space="preserve">(3) </t>
    </r>
    <r>
      <rPr>
        <sz val="8"/>
        <rFont val="Arial"/>
        <family val="2"/>
      </rPr>
      <t xml:space="preserve"> Indicare l'importo del Fondo per il miglioramento dell'offerta formativa assegnato dal M.U.R. </t>
    </r>
  </si>
  <si>
    <r>
      <rPr>
        <vertAlign val="superscript"/>
        <sz val="8"/>
        <rFont val="Arial"/>
        <family val="2"/>
      </rPr>
      <t xml:space="preserve">(4) </t>
    </r>
    <r>
      <rPr>
        <sz val="8"/>
        <rFont val="Arial"/>
        <family val="2"/>
      </rPr>
      <t xml:space="preserve"> Indicare l’incremento della retribuzione accessoria, in deroga al limite 2016, per assunzioni a t.d. effettuate ai sensi dell’art.1 del DL n. 80/2021, il cui costo è incluso nel quadro economico del progetto con relativo rimborso</t>
    </r>
  </si>
  <si>
    <t xml:space="preserve">    a carico delle risorse del PNRR..</t>
  </si>
  <si>
    <t>SQ 8</t>
  </si>
  <si>
    <r>
      <t>Art 4 c 1 Ccnl 08-09 - Incrementi Fondo Istituto</t>
    </r>
    <r>
      <rPr>
        <vertAlign val="superscript"/>
        <sz val="8"/>
        <rFont val="Arial"/>
        <family val="2"/>
      </rPr>
      <t xml:space="preserve"> (2)</t>
    </r>
  </si>
  <si>
    <r>
      <t xml:space="preserve">Art 108 c 1 Ccnl 16-18 - Incrementi indennità fisse </t>
    </r>
    <r>
      <rPr>
        <vertAlign val="superscript"/>
        <sz val="8"/>
        <rFont val="Arial"/>
        <family val="2"/>
      </rPr>
      <t>(2)</t>
    </r>
  </si>
  <si>
    <r>
      <t xml:space="preserve">Artt 173-174 Ccnl 19-21 - Incrementi indennità fisse </t>
    </r>
    <r>
      <rPr>
        <vertAlign val="superscript"/>
        <sz val="8"/>
        <rFont val="Arial"/>
        <family val="2"/>
      </rPr>
      <t>(2)</t>
    </r>
  </si>
  <si>
    <r>
      <t xml:space="preserve">Assegnazione Fondo M.O.F. </t>
    </r>
    <r>
      <rPr>
        <vertAlign val="superscript"/>
        <sz val="8"/>
        <rFont val="Arial"/>
        <family val="2"/>
      </rPr>
      <t>(3)</t>
    </r>
  </si>
  <si>
    <r>
      <t xml:space="preserve">Art 1 DL 80/2021 - Increm. ass TD finanz diretto PNRR </t>
    </r>
    <r>
      <rPr>
        <vertAlign val="superscript"/>
        <sz val="8"/>
        <rFont val="Arial"/>
        <family val="2"/>
      </rPr>
      <t>(4)</t>
    </r>
  </si>
  <si>
    <t>XX</t>
  </si>
  <si>
    <t>TREDICESIMA MENSILITA'</t>
  </si>
  <si>
    <t>da 0 a 2 anni;
pers. di ruolo in attesa ricostruzione carriera 
e pers. a t. determinato</t>
  </si>
  <si>
    <t>da 3 a 8 anni</t>
  </si>
  <si>
    <t>da 9 a 14 anni</t>
  </si>
  <si>
    <t>da 15 a 20 anni</t>
  </si>
  <si>
    <t>da 21 a 27 anni</t>
  </si>
  <si>
    <t>da 28 a 34 anni</t>
  </si>
  <si>
    <t>da 35 anni</t>
  </si>
  <si>
    <t>030 2886711</t>
  </si>
  <si>
    <t>protocollo@consbs.it</t>
  </si>
  <si>
    <t>www.consbs.it</t>
  </si>
  <si>
    <t>Chiola</t>
  </si>
  <si>
    <t>Maria Cristina</t>
  </si>
  <si>
    <t>cristina.chiola@mef.gov.it</t>
  </si>
  <si>
    <t>Musacchio</t>
  </si>
  <si>
    <t>Paolo</t>
  </si>
  <si>
    <t>paolo.musacchio@mur.gov.it</t>
  </si>
  <si>
    <t xml:space="preserve">Terni </t>
  </si>
  <si>
    <t>Filippo</t>
  </si>
  <si>
    <t>direttoreamministrativo@consbs.it</t>
  </si>
  <si>
    <t>0302886711</t>
  </si>
  <si>
    <t xml:space="preserve">Scarfò </t>
  </si>
  <si>
    <t>Noemi</t>
  </si>
  <si>
    <t>personale@consbs.it</t>
  </si>
  <si>
    <t>La differenza deriva da importi liquidati dalla RTS territorialmente competente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</si>
</sst>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General_)"/>
    <numFmt numFmtId="165" formatCode="_-&quot;L.&quot;\ * #,##0_-;\-&quot;L.&quot;\ * #,##0_-;_-&quot;L.&quot;\ * &quot;-&quot;_-;_-@_-"/>
    <numFmt numFmtId="166" formatCode="[$€]\ #,##0;[Red]\-[$€]\ #,##0"/>
    <numFmt numFmtId="167" formatCode=";;;"/>
    <numFmt numFmtId="168" formatCode="#,###"/>
    <numFmt numFmtId="169" formatCode="_-* #,##0_-;\-* #,##0_-;_-* &quot;-&quot;??_-;_-@_-"/>
    <numFmt numFmtId="170" formatCode="#,##0;\-#,##0;&quot; &quot;"/>
    <numFmt numFmtId="171" formatCode="#,##0.00;\-#,##0.00;&quot; &quot;"/>
    <numFmt numFmtId="172" formatCode="#,###.00;\-#,###.00;;"/>
    <numFmt numFmtId="173" formatCode="#,##0;\-\ #,##0;\-"/>
  </numFmts>
  <fonts count="132" x14ac:knownFonts="1">
    <font>
      <sz val="8"/>
      <name val="Helv"/>
    </font>
    <font>
      <sz val="10"/>
      <name val="MS Sans Serif"/>
      <family val="2"/>
    </font>
    <font>
      <b/>
      <sz val="12"/>
      <name val="Arial"/>
      <family val="2"/>
    </font>
    <font>
      <sz val="8"/>
      <name val="Arial"/>
      <family val="2"/>
    </font>
    <font>
      <sz val="9"/>
      <name val="Arial"/>
      <family val="2"/>
    </font>
    <font>
      <b/>
      <sz val="10"/>
      <name val="Arial"/>
      <family val="2"/>
    </font>
    <font>
      <b/>
      <sz val="8"/>
      <name val="Arial"/>
      <family val="2"/>
    </font>
    <font>
      <b/>
      <sz val="18"/>
      <name val="Times New Roman"/>
      <family val="1"/>
    </font>
    <font>
      <u/>
      <sz val="6.4"/>
      <color indexed="12"/>
      <name val="Helv"/>
    </font>
    <font>
      <sz val="11"/>
      <name val="Arial"/>
      <family val="2"/>
    </font>
    <font>
      <b/>
      <i/>
      <sz val="8"/>
      <name val="Arial"/>
      <family val="2"/>
    </font>
    <font>
      <i/>
      <sz val="8"/>
      <name val="Arial"/>
      <family val="2"/>
    </font>
    <font>
      <sz val="8"/>
      <name val="MS Serif"/>
      <family val="1"/>
    </font>
    <font>
      <b/>
      <sz val="8"/>
      <name val="Arial"/>
      <family val="2"/>
    </font>
    <font>
      <sz val="8"/>
      <name val="Arial"/>
      <family val="2"/>
    </font>
    <font>
      <sz val="10"/>
      <name val="Arial"/>
      <family val="2"/>
    </font>
    <font>
      <b/>
      <sz val="6"/>
      <name val="Arial"/>
      <family val="2"/>
    </font>
    <font>
      <b/>
      <sz val="6"/>
      <name val="Arial"/>
      <family val="2"/>
    </font>
    <font>
      <sz val="7"/>
      <name val="MS Serif"/>
      <family val="1"/>
    </font>
    <font>
      <sz val="9"/>
      <name val="Arial"/>
      <family val="2"/>
    </font>
    <font>
      <sz val="6"/>
      <name val="MS Serif"/>
      <family val="1"/>
    </font>
    <font>
      <b/>
      <sz val="7"/>
      <name val="Arial"/>
      <family val="2"/>
    </font>
    <font>
      <b/>
      <sz val="10"/>
      <name val="Arial"/>
      <family val="2"/>
    </font>
    <font>
      <b/>
      <sz val="11"/>
      <name val="Arial"/>
      <family val="2"/>
    </font>
    <font>
      <sz val="10"/>
      <name val="Arial"/>
      <family val="2"/>
    </font>
    <font>
      <sz val="7"/>
      <name val="Arial"/>
      <family val="2"/>
    </font>
    <font>
      <sz val="12"/>
      <name val="Arial"/>
      <family val="2"/>
    </font>
    <font>
      <b/>
      <sz val="12"/>
      <name val="Arial"/>
      <family val="2"/>
    </font>
    <font>
      <b/>
      <sz val="9"/>
      <name val="Arial"/>
      <family val="2"/>
    </font>
    <font>
      <sz val="7"/>
      <name val="Arial"/>
      <family val="2"/>
    </font>
    <font>
      <sz val="8"/>
      <name val="Helv"/>
    </font>
    <font>
      <b/>
      <sz val="8"/>
      <name val="Helv"/>
    </font>
    <font>
      <b/>
      <sz val="6"/>
      <name val="MS Serif"/>
      <family val="1"/>
    </font>
    <font>
      <i/>
      <sz val="9"/>
      <name val="Arial"/>
      <family val="2"/>
    </font>
    <font>
      <sz val="8"/>
      <color indexed="10"/>
      <name val="Arial"/>
      <family val="2"/>
    </font>
    <font>
      <b/>
      <sz val="8"/>
      <color indexed="10"/>
      <name val="Arial"/>
      <family val="2"/>
    </font>
    <font>
      <i/>
      <sz val="8"/>
      <name val="Helv"/>
    </font>
    <font>
      <b/>
      <i/>
      <sz val="12"/>
      <name val="Arial"/>
      <family val="2"/>
    </font>
    <font>
      <b/>
      <i/>
      <sz val="12"/>
      <name val="Helv"/>
    </font>
    <font>
      <sz val="6"/>
      <name val="MS Serif"/>
      <family val="1"/>
    </font>
    <font>
      <b/>
      <i/>
      <sz val="11"/>
      <name val="Arial"/>
      <family val="2"/>
    </font>
    <font>
      <sz val="10"/>
      <name val="Courier"/>
      <family val="3"/>
    </font>
    <font>
      <sz val="15"/>
      <name val="Times New Roman"/>
      <family val="1"/>
    </font>
    <font>
      <sz val="15"/>
      <name val="Arial"/>
      <family val="2"/>
    </font>
    <font>
      <b/>
      <sz val="15"/>
      <name val="Arial"/>
      <family val="2"/>
    </font>
    <font>
      <sz val="14"/>
      <name val="Arial"/>
      <family val="2"/>
    </font>
    <font>
      <sz val="8"/>
      <name val="Times New Roman"/>
      <family val="1"/>
    </font>
    <font>
      <sz val="7.5"/>
      <name val="Arial"/>
      <family val="2"/>
    </font>
    <font>
      <sz val="8"/>
      <name val="Courier"/>
      <family val="3"/>
    </font>
    <font>
      <i/>
      <sz val="8"/>
      <name val="Arial"/>
      <family val="2"/>
    </font>
    <font>
      <b/>
      <sz val="10"/>
      <name val="Times New Roman"/>
      <family val="1"/>
    </font>
    <font>
      <sz val="7"/>
      <name val="MS Serif"/>
      <family val="1"/>
    </font>
    <font>
      <sz val="12"/>
      <name val="Courier"/>
      <family val="3"/>
    </font>
    <font>
      <b/>
      <sz val="8"/>
      <color indexed="9"/>
      <name val="Helv"/>
    </font>
    <font>
      <sz val="8"/>
      <color indexed="9"/>
      <name val="Helv"/>
    </font>
    <font>
      <sz val="8"/>
      <name val="Helv"/>
    </font>
    <font>
      <b/>
      <sz val="16"/>
      <name val="Arial"/>
      <family val="2"/>
    </font>
    <font>
      <sz val="8.5"/>
      <name val="MS Serif"/>
      <family val="1"/>
    </font>
    <font>
      <b/>
      <sz val="12"/>
      <color indexed="10"/>
      <name val="Arial"/>
      <family val="2"/>
    </font>
    <font>
      <sz val="12"/>
      <name val="Times New Roman"/>
      <family val="1"/>
    </font>
    <font>
      <b/>
      <sz val="9"/>
      <color indexed="10"/>
      <name val="Courier"/>
      <family val="3"/>
    </font>
    <font>
      <b/>
      <i/>
      <sz val="9"/>
      <color indexed="48"/>
      <name val="Courier"/>
      <family val="3"/>
    </font>
    <font>
      <u/>
      <sz val="6.4"/>
      <color indexed="12"/>
      <name val="Arial"/>
      <family val="2"/>
    </font>
    <font>
      <sz val="12"/>
      <name val="Courier"/>
      <family val="3"/>
    </font>
    <font>
      <b/>
      <sz val="10"/>
      <color indexed="10"/>
      <name val="Arial"/>
      <family val="2"/>
    </font>
    <font>
      <b/>
      <sz val="8"/>
      <color indexed="10"/>
      <name val="Courier"/>
      <family val="3"/>
    </font>
    <font>
      <b/>
      <i/>
      <sz val="13"/>
      <color indexed="8"/>
      <name val="Arial"/>
      <family val="2"/>
    </font>
    <font>
      <b/>
      <sz val="13"/>
      <color indexed="10"/>
      <name val="Arial"/>
      <family val="2"/>
    </font>
    <font>
      <b/>
      <i/>
      <sz val="9"/>
      <name val="Arial"/>
      <family val="2"/>
    </font>
    <font>
      <sz val="8"/>
      <name val="Trebuchet MS"/>
      <family val="2"/>
    </font>
    <font>
      <sz val="8"/>
      <color indexed="8"/>
      <name val="Trebuchet MS"/>
      <family val="2"/>
    </font>
    <font>
      <sz val="8"/>
      <color indexed="62"/>
      <name val="Trebuchet MS"/>
      <family val="2"/>
    </font>
    <font>
      <b/>
      <sz val="8"/>
      <color indexed="63"/>
      <name val="Trebuchet MS"/>
      <family val="2"/>
    </font>
    <font>
      <sz val="10"/>
      <name val="MS Sans Serif"/>
      <family val="2"/>
    </font>
    <font>
      <sz val="11"/>
      <color indexed="10"/>
      <name val="Arial"/>
      <family val="2"/>
    </font>
    <font>
      <b/>
      <sz val="10"/>
      <color indexed="8"/>
      <name val="Arial"/>
      <family val="2"/>
    </font>
    <font>
      <sz val="7"/>
      <name val="Small Fonts"/>
      <family val="2"/>
    </font>
    <font>
      <sz val="7"/>
      <color indexed="30"/>
      <name val="Arial"/>
      <family val="2"/>
    </font>
    <font>
      <sz val="8"/>
      <color indexed="30"/>
      <name val="Arial"/>
      <family val="2"/>
    </font>
    <font>
      <b/>
      <sz val="11"/>
      <color indexed="8"/>
      <name val="Arial"/>
      <family val="2"/>
    </font>
    <font>
      <b/>
      <sz val="6"/>
      <color indexed="8"/>
      <name val="Arial"/>
      <family val="2"/>
    </font>
    <font>
      <i/>
      <sz val="10"/>
      <name val="Arial"/>
      <family val="2"/>
    </font>
    <font>
      <b/>
      <sz val="10"/>
      <color indexed="10"/>
      <name val="Arial"/>
      <family val="2"/>
    </font>
    <font>
      <b/>
      <sz val="9"/>
      <color indexed="48"/>
      <name val="Courier"/>
      <family val="3"/>
    </font>
    <font>
      <u/>
      <sz val="8"/>
      <name val="Helv"/>
    </font>
    <font>
      <sz val="9"/>
      <name val="Helv"/>
    </font>
    <font>
      <u/>
      <sz val="10"/>
      <color indexed="12"/>
      <name val="Arial"/>
      <family val="2"/>
    </font>
    <font>
      <sz val="7"/>
      <name val="Helv"/>
    </font>
    <font>
      <b/>
      <sz val="7"/>
      <name val="Helv"/>
    </font>
    <font>
      <i/>
      <sz val="10"/>
      <name val="MS Serif"/>
      <family val="1"/>
    </font>
    <font>
      <b/>
      <sz val="14"/>
      <name val="Arial"/>
      <family val="2"/>
    </font>
    <font>
      <b/>
      <sz val="9"/>
      <color indexed="8"/>
      <name val="Arial"/>
      <family val="2"/>
    </font>
    <font>
      <vertAlign val="superscript"/>
      <sz val="10"/>
      <name val="Arial"/>
      <family val="2"/>
    </font>
    <font>
      <b/>
      <sz val="18"/>
      <name val="Arial"/>
      <family val="2"/>
    </font>
    <font>
      <vertAlign val="superscript"/>
      <sz val="8"/>
      <name val="Arial"/>
      <family val="2"/>
    </font>
    <font>
      <b/>
      <sz val="8"/>
      <color indexed="8"/>
      <name val="Arial"/>
      <family val="2"/>
    </font>
    <font>
      <b/>
      <sz val="18"/>
      <color indexed="8"/>
      <name val="Arial"/>
      <family val="2"/>
    </font>
    <font>
      <u/>
      <sz val="12"/>
      <name val="Arial"/>
      <family val="2"/>
    </font>
    <font>
      <u/>
      <sz val="13"/>
      <name val="Arial"/>
      <family val="2"/>
    </font>
    <font>
      <u/>
      <sz val="11"/>
      <name val="Arial"/>
      <family val="2"/>
    </font>
    <font>
      <sz val="16"/>
      <name val="Arial"/>
      <family val="2"/>
    </font>
    <font>
      <sz val="12"/>
      <color theme="1"/>
      <name val="Times New Roman"/>
      <family val="2"/>
    </font>
    <font>
      <sz val="11"/>
      <color theme="1"/>
      <name val="Calibri"/>
      <family val="2"/>
      <scheme val="minor"/>
    </font>
    <font>
      <b/>
      <sz val="8"/>
      <color rgb="FFFF0000"/>
      <name val="Helv"/>
    </font>
    <font>
      <b/>
      <sz val="12"/>
      <color theme="0"/>
      <name val="Arial"/>
      <family val="2"/>
    </font>
    <font>
      <sz val="8"/>
      <color theme="0"/>
      <name val="Arial"/>
      <family val="2"/>
    </font>
    <font>
      <b/>
      <sz val="10"/>
      <color rgb="FFFF0000"/>
      <name val="Arial"/>
      <family val="2"/>
    </font>
    <font>
      <sz val="10"/>
      <color theme="0"/>
      <name val="Courier"/>
      <family val="3"/>
    </font>
    <font>
      <sz val="8"/>
      <color rgb="FFFF0000"/>
      <name val="Arial"/>
      <family val="2"/>
    </font>
    <font>
      <b/>
      <sz val="9"/>
      <color rgb="FFFF0000"/>
      <name val="Arial"/>
      <family val="2"/>
    </font>
    <font>
      <sz val="12"/>
      <color theme="1"/>
      <name val="Arial"/>
      <family val="2"/>
    </font>
    <font>
      <sz val="18"/>
      <color theme="1"/>
      <name val="Arial"/>
      <family val="2"/>
    </font>
    <font>
      <i/>
      <sz val="18"/>
      <color theme="1"/>
      <name val="Arial"/>
      <family val="2"/>
    </font>
    <font>
      <i/>
      <sz val="10"/>
      <color theme="1"/>
      <name val="Arial"/>
      <family val="2"/>
    </font>
    <font>
      <sz val="9"/>
      <color theme="1"/>
      <name val="Arial"/>
      <family val="2"/>
    </font>
    <font>
      <sz val="8"/>
      <color theme="1"/>
      <name val="Arial"/>
      <family val="2"/>
    </font>
    <font>
      <sz val="10"/>
      <color theme="1"/>
      <name val="Arial"/>
      <family val="2"/>
    </font>
    <font>
      <sz val="11"/>
      <color theme="1"/>
      <name val="Arial"/>
      <family val="2"/>
    </font>
    <font>
      <b/>
      <sz val="9"/>
      <color theme="1"/>
      <name val="Arial"/>
      <family val="2"/>
    </font>
    <font>
      <b/>
      <sz val="12"/>
      <color rgb="FFFF0000"/>
      <name val="Arial"/>
      <family val="2"/>
    </font>
    <font>
      <sz val="8"/>
      <color theme="0"/>
      <name val="Helv"/>
    </font>
    <font>
      <sz val="10"/>
      <color theme="0"/>
      <name val="Arial"/>
      <family val="2"/>
    </font>
    <font>
      <sz val="11"/>
      <color rgb="FFFF0000"/>
      <name val="Arial"/>
      <family val="2"/>
    </font>
    <font>
      <b/>
      <sz val="11"/>
      <color rgb="FFFF0000"/>
      <name val="Arial"/>
      <family val="2"/>
    </font>
    <font>
      <sz val="8"/>
      <color rgb="FF0000CC"/>
      <name val="Arial"/>
      <family val="2"/>
    </font>
    <font>
      <sz val="16"/>
      <color theme="1"/>
      <name val="Arial"/>
      <family val="2"/>
    </font>
    <font>
      <sz val="12"/>
      <color rgb="FF0000CC"/>
      <name val="Arial"/>
      <family val="2"/>
    </font>
    <font>
      <b/>
      <sz val="10"/>
      <color rgb="FFFF0000"/>
      <name val="Helv"/>
    </font>
    <font>
      <b/>
      <sz val="18"/>
      <color rgb="FFFF0000"/>
      <name val="Times New Roman"/>
      <family val="1"/>
    </font>
    <font>
      <sz val="8"/>
      <color rgb="FFFF0000"/>
      <name val="Helv"/>
    </font>
    <font>
      <sz val="10"/>
      <color rgb="FFFF0000"/>
      <name val="Arial"/>
      <family val="2"/>
    </font>
    <font>
      <sz val="10"/>
      <color rgb="FFFF0000"/>
      <name val="Courier"/>
      <family val="3"/>
    </font>
  </fonts>
  <fills count="16">
    <fill>
      <patternFill patternType="none"/>
    </fill>
    <fill>
      <patternFill patternType="gray125"/>
    </fill>
    <fill>
      <patternFill patternType="solid">
        <fgColor indexed="47"/>
      </patternFill>
    </fill>
    <fill>
      <patternFill patternType="solid">
        <fgColor indexed="22"/>
      </patternFill>
    </fill>
    <fill>
      <patternFill patternType="solid">
        <fgColor indexed="9"/>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gray0625"/>
    </fill>
    <fill>
      <patternFill patternType="gray0625">
        <fgColor indexed="26"/>
        <bgColor indexed="26"/>
      </patternFill>
    </fill>
    <fill>
      <patternFill patternType="solid">
        <fgColor rgb="FFFFFF00"/>
        <bgColor indexed="64"/>
      </patternFill>
    </fill>
    <fill>
      <patternFill patternType="solid">
        <fgColor theme="0" tint="-0.24994659260841701"/>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16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double">
        <color indexed="64"/>
      </right>
      <top/>
      <bottom style="medium">
        <color indexed="64"/>
      </bottom>
      <diagonal/>
    </border>
    <border>
      <left/>
      <right/>
      <top style="medium">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bottom/>
      <diagonal/>
    </border>
    <border>
      <left style="thin">
        <color indexed="64"/>
      </left>
      <right/>
      <top/>
      <bottom/>
      <diagonal/>
    </border>
    <border>
      <left style="medium">
        <color indexed="64"/>
      </left>
      <right/>
      <top style="double">
        <color indexed="64"/>
      </top>
      <bottom style="medium">
        <color indexed="64"/>
      </bottom>
      <diagonal/>
    </border>
    <border>
      <left style="thin">
        <color indexed="64"/>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thin">
        <color indexed="64"/>
      </left>
      <right/>
      <top style="double">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medium">
        <color indexed="64"/>
      </right>
      <top/>
      <bottom style="double">
        <color indexed="64"/>
      </bottom>
      <diagonal/>
    </border>
    <border>
      <left style="double">
        <color indexed="64"/>
      </left>
      <right/>
      <top style="double">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double">
        <color indexed="64"/>
      </top>
      <bottom/>
      <diagonal/>
    </border>
    <border>
      <left style="medium">
        <color indexed="64"/>
      </left>
      <right/>
      <top style="medium">
        <color indexed="64"/>
      </top>
      <bottom style="thin">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double">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double">
        <color indexed="64"/>
      </right>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double">
        <color indexed="64"/>
      </left>
      <right style="medium">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top/>
      <bottom style="medium">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medium">
        <color indexed="64"/>
      </bottom>
      <diagonal/>
    </border>
    <border>
      <left style="double">
        <color indexed="64"/>
      </left>
      <right style="double">
        <color indexed="64"/>
      </right>
      <top style="medium">
        <color indexed="64"/>
      </top>
      <bottom/>
      <diagonal/>
    </border>
    <border>
      <left/>
      <right style="double">
        <color indexed="64"/>
      </right>
      <top style="medium">
        <color indexed="64"/>
      </top>
      <bottom/>
      <diagonal/>
    </border>
    <border>
      <left style="double">
        <color indexed="64"/>
      </left>
      <right style="thin">
        <color indexed="64"/>
      </right>
      <top style="thick">
        <color indexed="64"/>
      </top>
      <bottom style="thin">
        <color indexed="64"/>
      </bottom>
      <diagonal/>
    </border>
    <border>
      <left style="double">
        <color indexed="64"/>
      </left>
      <right/>
      <top/>
      <bottom style="thick">
        <color indexed="64"/>
      </bottom>
      <diagonal/>
    </border>
    <border>
      <left/>
      <right style="double">
        <color indexed="64"/>
      </right>
      <top/>
      <bottom style="thick">
        <color indexed="64"/>
      </bottom>
      <diagonal/>
    </border>
    <border>
      <left style="thin">
        <color indexed="64"/>
      </left>
      <right style="double">
        <color indexed="64"/>
      </right>
      <top style="thick">
        <color indexed="64"/>
      </top>
      <bottom style="thin">
        <color indexed="64"/>
      </bottom>
      <diagonal/>
    </border>
    <border>
      <left/>
      <right style="medium">
        <color indexed="64"/>
      </right>
      <top style="double">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diagonal/>
    </border>
    <border>
      <left/>
      <right style="double">
        <color indexed="64"/>
      </right>
      <top style="double">
        <color indexed="64"/>
      </top>
      <bottom style="medium">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double">
        <color indexed="64"/>
      </right>
      <top style="thick">
        <color indexed="64"/>
      </top>
      <bottom/>
      <diagonal/>
    </border>
    <border>
      <left style="thin">
        <color indexed="64"/>
      </left>
      <right style="double">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double">
        <color indexed="64"/>
      </bottom>
      <diagonal/>
    </border>
    <border>
      <left/>
      <right/>
      <top style="thin">
        <color indexed="64"/>
      </top>
      <bottom style="medium">
        <color indexed="64"/>
      </bottom>
      <diagonal/>
    </border>
    <border>
      <left style="double">
        <color indexed="64"/>
      </left>
      <right style="double">
        <color indexed="64"/>
      </right>
      <top style="double">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double">
        <color indexed="64"/>
      </bottom>
      <diagonal/>
    </border>
    <border>
      <left/>
      <right style="thin">
        <color indexed="64"/>
      </right>
      <top style="thin">
        <color indexed="64"/>
      </top>
      <bottom/>
      <diagonal/>
    </border>
    <border>
      <left style="double">
        <color indexed="64"/>
      </left>
      <right/>
      <top style="medium">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s>
  <cellStyleXfs count="39">
    <xf numFmtId="0" fontId="0" fillId="0" borderId="0"/>
    <xf numFmtId="0" fontId="8" fillId="0" borderId="0" applyNumberFormat="0" applyFill="0" applyBorder="0" applyAlignment="0" applyProtection="0">
      <alignment vertical="top"/>
      <protection locked="0"/>
    </xf>
    <xf numFmtId="166" fontId="30" fillId="0" borderId="0" applyFont="0" applyFill="0" applyBorder="0" applyAlignment="0" applyProtection="0"/>
    <xf numFmtId="0" fontId="71" fillId="2" borderId="1" applyNumberFormat="0" applyAlignment="0" applyProtection="0"/>
    <xf numFmtId="0" fontId="101" fillId="0" borderId="0" applyNumberFormat="0" applyBorder="0" applyAlignment="0"/>
    <xf numFmtId="40" fontId="1" fillId="0" borderId="0" applyFont="0" applyFill="0" applyBorder="0" applyAlignment="0" applyProtection="0"/>
    <xf numFmtId="41" fontId="59" fillId="0" borderId="0" applyFont="0" applyFill="0" applyBorder="0" applyAlignment="0" applyProtection="0"/>
    <xf numFmtId="40" fontId="1" fillId="0" borderId="0" applyFont="0" applyFill="0" applyBorder="0" applyAlignment="0" applyProtection="0"/>
    <xf numFmtId="43" fontId="15" fillId="0" borderId="0" applyFont="0" applyFill="0" applyBorder="0" applyAlignment="0" applyProtection="0"/>
    <xf numFmtId="0" fontId="30" fillId="0" borderId="0"/>
    <xf numFmtId="0" fontId="30" fillId="0" borderId="0"/>
    <xf numFmtId="0" fontId="30" fillId="0" borderId="0"/>
    <xf numFmtId="0" fontId="101" fillId="0" borderId="0"/>
    <xf numFmtId="0" fontId="101" fillId="0" borderId="0"/>
    <xf numFmtId="0" fontId="101" fillId="0" borderId="0"/>
    <xf numFmtId="0" fontId="30" fillId="0" borderId="0"/>
    <xf numFmtId="0" fontId="102" fillId="0" borderId="0"/>
    <xf numFmtId="0" fontId="102" fillId="0" borderId="0"/>
    <xf numFmtId="0" fontId="101" fillId="0" borderId="0"/>
    <xf numFmtId="0" fontId="26" fillId="4" borderId="0"/>
    <xf numFmtId="0" fontId="30" fillId="0" borderId="0"/>
    <xf numFmtId="0" fontId="30" fillId="0" borderId="0"/>
    <xf numFmtId="0" fontId="30" fillId="0" borderId="0"/>
    <xf numFmtId="0" fontId="70" fillId="0" borderId="0"/>
    <xf numFmtId="164" fontId="41" fillId="0" borderId="0"/>
    <xf numFmtId="0" fontId="4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2" fillId="3" borderId="2" applyNumberFormat="0" applyAlignment="0" applyProtection="0"/>
    <xf numFmtId="9" fontId="1" fillId="0" borderId="0" applyFont="0" applyFill="0" applyBorder="0" applyAlignment="0" applyProtection="0"/>
    <xf numFmtId="9" fontId="73" fillId="0" borderId="0" applyFont="0" applyFill="0" applyBorder="0" applyAlignment="0" applyProtection="0"/>
    <xf numFmtId="9" fontId="1" fillId="0" borderId="0" applyFont="0" applyFill="0" applyBorder="0" applyAlignment="0" applyProtection="0"/>
    <xf numFmtId="165" fontId="59" fillId="0" borderId="0" applyFont="0" applyFill="0" applyBorder="0" applyAlignment="0" applyProtection="0"/>
  </cellStyleXfs>
  <cellXfs count="1270">
    <xf numFmtId="0" fontId="0" fillId="0" borderId="0" xfId="0"/>
    <xf numFmtId="0" fontId="2" fillId="0" borderId="0" xfId="0" applyFont="1" applyAlignment="1">
      <alignment horizontal="left" vertical="top"/>
    </xf>
    <xf numFmtId="0" fontId="3" fillId="0" borderId="0" xfId="0" applyFont="1" applyAlignment="1">
      <alignment horizontal="center"/>
    </xf>
    <xf numFmtId="0" fontId="3" fillId="0" borderId="0" xfId="0" applyFont="1"/>
    <xf numFmtId="0" fontId="3" fillId="0" borderId="0" xfId="0" applyFont="1" applyAlignment="1">
      <alignment horizontal="left"/>
    </xf>
    <xf numFmtId="0" fontId="4" fillId="0" borderId="0" xfId="0" applyFont="1"/>
    <xf numFmtId="0" fontId="6" fillId="0" borderId="0" xfId="0" applyFont="1" applyAlignment="1">
      <alignment horizontal="right" vertical="center"/>
    </xf>
    <xf numFmtId="0" fontId="3" fillId="0" borderId="3" xfId="0" applyFont="1" applyBorder="1" applyAlignment="1">
      <alignment horizontal="centerContinuous"/>
    </xf>
    <xf numFmtId="0" fontId="3" fillId="0" borderId="4" xfId="0" applyFont="1" applyBorder="1" applyAlignment="1">
      <alignment horizontal="center"/>
    </xf>
    <xf numFmtId="0" fontId="3" fillId="0" borderId="5" xfId="0" applyFont="1" applyBorder="1" applyAlignment="1">
      <alignment horizontal="centerContinuous" vertical="center"/>
    </xf>
    <xf numFmtId="0" fontId="3" fillId="0" borderId="6" xfId="0" applyFont="1" applyBorder="1" applyAlignment="1">
      <alignment horizontal="center"/>
    </xf>
    <xf numFmtId="0" fontId="5" fillId="0" borderId="7" xfId="0" applyFont="1" applyBorder="1" applyAlignment="1">
      <alignment horizontal="centerContinuous" vertical="center"/>
    </xf>
    <xf numFmtId="0" fontId="13" fillId="0" borderId="8" xfId="0" applyFont="1" applyBorder="1" applyAlignment="1">
      <alignment horizontal="centerContinuous" vertical="center"/>
    </xf>
    <xf numFmtId="0" fontId="13" fillId="0" borderId="9" xfId="0" applyFont="1" applyBorder="1" applyAlignment="1">
      <alignment horizontal="centerContinuous" vertical="center"/>
    </xf>
    <xf numFmtId="0" fontId="13" fillId="0" borderId="8" xfId="0" applyFont="1" applyBorder="1" applyAlignment="1">
      <alignment horizontal="centerContinuous" vertical="center" wrapText="1"/>
    </xf>
    <xf numFmtId="0" fontId="3" fillId="0" borderId="10" xfId="0" applyFont="1" applyBorder="1" applyAlignment="1">
      <alignment horizontal="left"/>
    </xf>
    <xf numFmtId="0" fontId="3" fillId="0" borderId="11" xfId="0" applyFont="1" applyBorder="1" applyAlignment="1">
      <alignment horizontal="left"/>
    </xf>
    <xf numFmtId="0" fontId="14" fillId="0" borderId="0" xfId="0" applyFont="1"/>
    <xf numFmtId="0" fontId="10" fillId="0" borderId="12" xfId="0" applyFont="1" applyBorder="1" applyAlignment="1">
      <alignment horizontal="center" vertical="center"/>
    </xf>
    <xf numFmtId="0" fontId="2" fillId="0" borderId="0" xfId="33" applyFont="1" applyAlignment="1">
      <alignment horizontal="left" vertical="top"/>
    </xf>
    <xf numFmtId="0" fontId="3" fillId="0" borderId="0" xfId="33" applyFont="1" applyAlignment="1">
      <alignment horizontal="center"/>
    </xf>
    <xf numFmtId="0" fontId="3" fillId="0" borderId="0" xfId="33" applyFont="1"/>
    <xf numFmtId="0" fontId="10" fillId="0" borderId="12" xfId="33" applyFont="1" applyBorder="1" applyAlignment="1">
      <alignment horizontal="center" vertical="center"/>
    </xf>
    <xf numFmtId="0" fontId="6" fillId="0" borderId="13" xfId="33" applyFont="1" applyBorder="1" applyAlignment="1">
      <alignment horizontal="center" vertical="center"/>
    </xf>
    <xf numFmtId="0" fontId="6" fillId="0" borderId="14" xfId="33" applyFont="1" applyBorder="1" applyAlignment="1">
      <alignment horizontal="right" vertical="center"/>
    </xf>
    <xf numFmtId="0" fontId="15" fillId="0" borderId="0" xfId="32"/>
    <xf numFmtId="0" fontId="6" fillId="0" borderId="15" xfId="32" applyFont="1" applyBorder="1" applyAlignment="1">
      <alignment horizontal="center" vertical="center"/>
    </xf>
    <xf numFmtId="0" fontId="18" fillId="0" borderId="16" xfId="32" applyFont="1" applyBorder="1" applyAlignment="1">
      <alignment horizontal="centerContinuous" vertical="center" wrapText="1"/>
    </xf>
    <xf numFmtId="0" fontId="18" fillId="0" borderId="0" xfId="32" applyFont="1" applyAlignment="1">
      <alignment horizontal="centerContinuous" vertical="center" wrapText="1"/>
    </xf>
    <xf numFmtId="0" fontId="18" fillId="0" borderId="17" xfId="32" applyFont="1" applyBorder="1" applyAlignment="1">
      <alignment horizontal="center" vertical="center" wrapText="1"/>
    </xf>
    <xf numFmtId="0" fontId="18" fillId="0" borderId="17" xfId="32" applyFont="1" applyBorder="1" applyAlignment="1">
      <alignment horizontal="centerContinuous" vertical="center" wrapText="1"/>
    </xf>
    <xf numFmtId="0" fontId="6" fillId="0" borderId="14" xfId="32" applyFont="1" applyBorder="1" applyAlignment="1">
      <alignment horizontal="right" vertical="center"/>
    </xf>
    <xf numFmtId="0" fontId="3" fillId="0" borderId="18" xfId="32" applyFont="1" applyBorder="1" applyAlignment="1">
      <alignment horizontal="center"/>
    </xf>
    <xf numFmtId="0" fontId="3" fillId="0" borderId="0" xfId="31" applyFont="1"/>
    <xf numFmtId="0" fontId="4" fillId="0" borderId="0" xfId="31" applyFont="1"/>
    <xf numFmtId="0" fontId="3" fillId="0" borderId="0" xfId="31" applyFont="1" applyAlignment="1">
      <alignment horizontal="center"/>
    </xf>
    <xf numFmtId="0" fontId="3" fillId="0" borderId="3" xfId="31" applyFont="1" applyBorder="1" applyAlignment="1">
      <alignment horizontal="centerContinuous"/>
    </xf>
    <xf numFmtId="0" fontId="3" fillId="0" borderId="4" xfId="31" applyFont="1" applyBorder="1" applyAlignment="1">
      <alignment horizontal="center"/>
    </xf>
    <xf numFmtId="0" fontId="6" fillId="0" borderId="5" xfId="31" applyFont="1" applyBorder="1" applyAlignment="1">
      <alignment horizontal="centerContinuous" vertical="center"/>
    </xf>
    <xf numFmtId="0" fontId="3" fillId="0" borderId="5" xfId="31" applyFont="1" applyBorder="1" applyAlignment="1">
      <alignment horizontal="centerContinuous" vertical="center"/>
    </xf>
    <xf numFmtId="0" fontId="3" fillId="0" borderId="19" xfId="31" applyFont="1" applyBorder="1" applyAlignment="1">
      <alignment horizontal="centerContinuous" vertical="center"/>
    </xf>
    <xf numFmtId="0" fontId="6" fillId="0" borderId="13" xfId="31" applyFont="1" applyBorder="1" applyAlignment="1">
      <alignment horizontal="center" vertical="center"/>
    </xf>
    <xf numFmtId="0" fontId="3" fillId="0" borderId="20" xfId="31" applyFont="1" applyBorder="1" applyAlignment="1">
      <alignment horizontal="center"/>
    </xf>
    <xf numFmtId="0" fontId="20" fillId="0" borderId="21" xfId="31" applyFont="1" applyBorder="1" applyAlignment="1">
      <alignment horizontal="center"/>
    </xf>
    <xf numFmtId="0" fontId="20" fillId="0" borderId="22" xfId="31" applyFont="1" applyBorder="1" applyAlignment="1">
      <alignment horizontal="center"/>
    </xf>
    <xf numFmtId="0" fontId="20" fillId="0" borderId="23" xfId="31" applyFont="1" applyBorder="1" applyAlignment="1">
      <alignment horizontal="center"/>
    </xf>
    <xf numFmtId="0" fontId="6" fillId="0" borderId="14" xfId="31" applyFont="1" applyBorder="1" applyAlignment="1">
      <alignment horizontal="right" vertical="center"/>
    </xf>
    <xf numFmtId="0" fontId="3" fillId="0" borderId="18" xfId="31" applyFont="1" applyBorder="1" applyAlignment="1">
      <alignment horizontal="center"/>
    </xf>
    <xf numFmtId="0" fontId="3" fillId="0" borderId="0" xfId="30" applyFont="1"/>
    <xf numFmtId="0" fontId="4" fillId="0" borderId="0" xfId="30" applyFont="1"/>
    <xf numFmtId="0" fontId="3" fillId="0" borderId="0" xfId="30" applyFont="1" applyAlignment="1">
      <alignment horizontal="center"/>
    </xf>
    <xf numFmtId="0" fontId="3" fillId="0" borderId="3" xfId="30" applyFont="1" applyBorder="1" applyAlignment="1">
      <alignment horizontal="centerContinuous"/>
    </xf>
    <xf numFmtId="0" fontId="3" fillId="0" borderId="4" xfId="30" applyFont="1" applyBorder="1" applyAlignment="1">
      <alignment horizontal="center"/>
    </xf>
    <xf numFmtId="0" fontId="6" fillId="0" borderId="5" xfId="30" applyFont="1" applyBorder="1" applyAlignment="1">
      <alignment horizontal="centerContinuous" vertical="center"/>
    </xf>
    <xf numFmtId="0" fontId="3" fillId="0" borderId="5" xfId="30" applyFont="1" applyBorder="1" applyAlignment="1">
      <alignment horizontal="centerContinuous" vertical="center"/>
    </xf>
    <xf numFmtId="0" fontId="3" fillId="0" borderId="19" xfId="30" applyFont="1" applyBorder="1" applyAlignment="1">
      <alignment horizontal="centerContinuous" vertical="center"/>
    </xf>
    <xf numFmtId="0" fontId="6" fillId="0" borderId="13" xfId="30" applyFont="1" applyBorder="1" applyAlignment="1">
      <alignment horizontal="center" vertical="center"/>
    </xf>
    <xf numFmtId="0" fontId="6" fillId="0" borderId="24" xfId="30" applyFont="1" applyBorder="1" applyAlignment="1">
      <alignment horizontal="centerContinuous" vertical="center"/>
    </xf>
    <xf numFmtId="0" fontId="3" fillId="0" borderId="20" xfId="30" applyFont="1" applyBorder="1" applyAlignment="1">
      <alignment horizontal="center"/>
    </xf>
    <xf numFmtId="0" fontId="20" fillId="0" borderId="21" xfId="30" applyFont="1" applyBorder="1" applyAlignment="1">
      <alignment horizontal="center"/>
    </xf>
    <xf numFmtId="0" fontId="20" fillId="0" borderId="22" xfId="30" applyFont="1" applyBorder="1" applyAlignment="1">
      <alignment horizontal="center"/>
    </xf>
    <xf numFmtId="0" fontId="20" fillId="0" borderId="23" xfId="30" applyFont="1" applyBorder="1" applyAlignment="1">
      <alignment horizontal="center"/>
    </xf>
    <xf numFmtId="0" fontId="6" fillId="0" borderId="14" xfId="30" applyFont="1" applyBorder="1" applyAlignment="1">
      <alignment horizontal="right" vertical="center"/>
    </xf>
    <xf numFmtId="0" fontId="3" fillId="0" borderId="18" xfId="30" applyFont="1" applyBorder="1" applyAlignment="1">
      <alignment horizontal="center"/>
    </xf>
    <xf numFmtId="0" fontId="2" fillId="0" borderId="0" xfId="29" applyFont="1" applyAlignment="1">
      <alignment horizontal="left" vertical="top"/>
    </xf>
    <xf numFmtId="0" fontId="3" fillId="0" borderId="0" xfId="29" applyFont="1" applyAlignment="1">
      <alignment horizontal="center"/>
    </xf>
    <xf numFmtId="0" fontId="3" fillId="0" borderId="0" xfId="29" applyFont="1"/>
    <xf numFmtId="0" fontId="3" fillId="0" borderId="0" xfId="29" applyFont="1" applyAlignment="1">
      <alignment horizontal="left"/>
    </xf>
    <xf numFmtId="0" fontId="3" fillId="0" borderId="3" xfId="29" applyFont="1" applyBorder="1" applyAlignment="1">
      <alignment horizontal="centerContinuous"/>
    </xf>
    <xf numFmtId="0" fontId="3" fillId="0" borderId="4" xfId="29" applyFont="1" applyBorder="1" applyAlignment="1">
      <alignment horizontal="center"/>
    </xf>
    <xf numFmtId="0" fontId="6" fillId="0" borderId="5" xfId="29" applyFont="1" applyBorder="1" applyAlignment="1">
      <alignment horizontal="centerContinuous" vertical="center"/>
    </xf>
    <xf numFmtId="0" fontId="3" fillId="0" borderId="5" xfId="29" applyFont="1" applyBorder="1" applyAlignment="1">
      <alignment horizontal="centerContinuous" vertical="center"/>
    </xf>
    <xf numFmtId="0" fontId="6" fillId="0" borderId="13" xfId="29" applyFont="1" applyBorder="1" applyAlignment="1">
      <alignment horizontal="center" vertical="center"/>
    </xf>
    <xf numFmtId="0" fontId="3" fillId="0" borderId="20" xfId="29" applyFont="1" applyBorder="1" applyAlignment="1">
      <alignment horizontal="center"/>
    </xf>
    <xf numFmtId="0" fontId="6" fillId="0" borderId="14" xfId="29" applyFont="1" applyBorder="1" applyAlignment="1">
      <alignment horizontal="right" vertical="center"/>
    </xf>
    <xf numFmtId="0" fontId="3" fillId="0" borderId="18" xfId="29" applyFont="1" applyBorder="1" applyAlignment="1">
      <alignment horizontal="center"/>
    </xf>
    <xf numFmtId="0" fontId="3" fillId="0" borderId="0" xfId="28" applyFont="1"/>
    <xf numFmtId="0" fontId="3" fillId="0" borderId="3" xfId="28" applyFont="1" applyBorder="1" applyAlignment="1">
      <alignment horizontal="centerContinuous"/>
    </xf>
    <xf numFmtId="0" fontId="3" fillId="0" borderId="4" xfId="28" applyFont="1" applyBorder="1" applyAlignment="1">
      <alignment horizontal="center"/>
    </xf>
    <xf numFmtId="0" fontId="3" fillId="0" borderId="5" xfId="28" applyFont="1" applyBorder="1" applyAlignment="1">
      <alignment horizontal="centerContinuous" vertical="center"/>
    </xf>
    <xf numFmtId="0" fontId="3" fillId="0" borderId="19" xfId="28" applyFont="1" applyBorder="1" applyAlignment="1">
      <alignment horizontal="centerContinuous" vertical="center"/>
    </xf>
    <xf numFmtId="0" fontId="6" fillId="0" borderId="13" xfId="28" applyFont="1" applyBorder="1" applyAlignment="1">
      <alignment horizontal="center" vertical="center"/>
    </xf>
    <xf numFmtId="0" fontId="3" fillId="0" borderId="20" xfId="28" applyFont="1" applyBorder="1" applyAlignment="1">
      <alignment horizontal="center"/>
    </xf>
    <xf numFmtId="0" fontId="6" fillId="0" borderId="14" xfId="28" applyFont="1" applyBorder="1" applyAlignment="1">
      <alignment horizontal="right" vertical="center"/>
    </xf>
    <xf numFmtId="0" fontId="3" fillId="0" borderId="18" xfId="28" applyFont="1" applyBorder="1" applyAlignment="1">
      <alignment horizontal="center"/>
    </xf>
    <xf numFmtId="0" fontId="3" fillId="0" borderId="0" xfId="28" applyFont="1" applyAlignment="1">
      <alignment horizontal="center"/>
    </xf>
    <xf numFmtId="0" fontId="3" fillId="0" borderId="7" xfId="0" applyFont="1" applyBorder="1" applyAlignment="1">
      <alignment horizontal="centerContinuous" vertical="center"/>
    </xf>
    <xf numFmtId="0" fontId="24" fillId="0" borderId="0" xfId="0" applyFont="1"/>
    <xf numFmtId="0" fontId="3" fillId="0" borderId="25" xfId="0" applyFont="1" applyBorder="1" applyAlignment="1">
      <alignment horizontal="center"/>
    </xf>
    <xf numFmtId="0" fontId="3" fillId="0" borderId="0" xfId="0" applyFont="1" applyAlignment="1">
      <alignment vertical="center"/>
    </xf>
    <xf numFmtId="0" fontId="3" fillId="0" borderId="26" xfId="0" applyFont="1" applyBorder="1" applyAlignment="1">
      <alignment horizontal="centerContinuous" vertical="center"/>
    </xf>
    <xf numFmtId="0" fontId="0" fillId="0" borderId="0" xfId="0" applyAlignment="1">
      <alignment horizontal="center"/>
    </xf>
    <xf numFmtId="0" fontId="5" fillId="0" borderId="0" xfId="0" applyFont="1"/>
    <xf numFmtId="0" fontId="6" fillId="0" borderId="27" xfId="0" applyFont="1" applyBorder="1" applyAlignment="1">
      <alignment horizontal="center" vertical="center"/>
    </xf>
    <xf numFmtId="0" fontId="14" fillId="0" borderId="28" xfId="0" applyFont="1" applyBorder="1" applyAlignment="1">
      <alignment horizontal="justify"/>
    </xf>
    <xf numFmtId="0" fontId="29" fillId="0" borderId="0" xfId="0" applyFont="1"/>
    <xf numFmtId="0" fontId="14" fillId="0" borderId="29" xfId="0" applyFont="1" applyBorder="1" applyAlignment="1">
      <alignment horizontal="justify"/>
    </xf>
    <xf numFmtId="0" fontId="14" fillId="0" borderId="28" xfId="0" applyFont="1" applyBorder="1" applyAlignment="1">
      <alignment horizontal="left"/>
    </xf>
    <xf numFmtId="0" fontId="14" fillId="0" borderId="28" xfId="0" applyFont="1" applyBorder="1" applyAlignment="1">
      <alignment horizontal="justify" wrapText="1"/>
    </xf>
    <xf numFmtId="0" fontId="14" fillId="0" borderId="28" xfId="0" applyFont="1" applyBorder="1" applyAlignment="1">
      <alignment wrapText="1"/>
    </xf>
    <xf numFmtId="0" fontId="6" fillId="0" borderId="30" xfId="0" applyFont="1" applyBorder="1" applyAlignment="1">
      <alignment horizontal="centerContinuous" vertical="center" wrapText="1"/>
    </xf>
    <xf numFmtId="0" fontId="6" fillId="0" borderId="20" xfId="0" applyFont="1" applyBorder="1" applyAlignment="1">
      <alignment horizontal="center" vertical="center"/>
    </xf>
    <xf numFmtId="0" fontId="3" fillId="0" borderId="23" xfId="0" applyFont="1" applyBorder="1" applyAlignment="1">
      <alignment horizontal="centerContinuous" vertical="center"/>
    </xf>
    <xf numFmtId="0" fontId="6" fillId="0" borderId="14" xfId="0" applyFont="1" applyBorder="1" applyAlignment="1">
      <alignment horizontal="right" vertical="center"/>
    </xf>
    <xf numFmtId="0" fontId="3" fillId="0" borderId="18" xfId="0" applyFont="1" applyBorder="1" applyAlignment="1">
      <alignment horizontal="center"/>
    </xf>
    <xf numFmtId="0" fontId="3" fillId="0" borderId="19" xfId="0" applyFont="1" applyBorder="1" applyAlignment="1">
      <alignment horizontal="centerContinuous" vertical="center"/>
    </xf>
    <xf numFmtId="0" fontId="6" fillId="0" borderId="13" xfId="0" applyFont="1" applyBorder="1" applyAlignment="1">
      <alignment horizontal="center" vertical="center"/>
    </xf>
    <xf numFmtId="0" fontId="14" fillId="0" borderId="24" xfId="0" applyFont="1" applyBorder="1" applyAlignment="1">
      <alignment horizontal="centerContinuous" vertical="center" wrapText="1"/>
    </xf>
    <xf numFmtId="0" fontId="6" fillId="0" borderId="5" xfId="0" applyFont="1" applyBorder="1" applyAlignment="1">
      <alignment horizontal="centerContinuous" vertical="center"/>
    </xf>
    <xf numFmtId="0" fontId="3" fillId="0" borderId="25" xfId="0" applyFont="1" applyBorder="1" applyAlignment="1">
      <alignment horizontal="left"/>
    </xf>
    <xf numFmtId="0" fontId="6" fillId="0" borderId="31" xfId="30" applyFont="1" applyBorder="1" applyAlignment="1">
      <alignment horizontal="centerContinuous" vertical="center"/>
    </xf>
    <xf numFmtId="0" fontId="14" fillId="0" borderId="29" xfId="0" applyFont="1" applyBorder="1" applyAlignment="1">
      <alignment horizontal="justify" wrapText="1"/>
    </xf>
    <xf numFmtId="0" fontId="13" fillId="5" borderId="32" xfId="28" applyFont="1" applyFill="1" applyBorder="1" applyAlignment="1">
      <alignment horizontal="centerContinuous" vertical="center"/>
    </xf>
    <xf numFmtId="0" fontId="3" fillId="5" borderId="5" xfId="28" applyFont="1" applyFill="1" applyBorder="1" applyAlignment="1">
      <alignment horizontal="centerContinuous" vertical="center"/>
    </xf>
    <xf numFmtId="0" fontId="3" fillId="5" borderId="19" xfId="28" applyFont="1" applyFill="1" applyBorder="1" applyAlignment="1">
      <alignment horizontal="centerContinuous" vertical="center"/>
    </xf>
    <xf numFmtId="0" fontId="21" fillId="5" borderId="33" xfId="28" applyFont="1" applyFill="1" applyBorder="1" applyAlignment="1">
      <alignment horizontal="centerContinuous" vertical="center" wrapText="1"/>
    </xf>
    <xf numFmtId="0" fontId="21" fillId="5" borderId="31" xfId="28" applyFont="1" applyFill="1" applyBorder="1" applyAlignment="1">
      <alignment horizontal="centerContinuous" vertical="center"/>
    </xf>
    <xf numFmtId="0" fontId="21" fillId="5" borderId="31" xfId="29" applyFont="1" applyFill="1" applyBorder="1" applyAlignment="1">
      <alignment horizontal="centerContinuous" vertical="center"/>
    </xf>
    <xf numFmtId="0" fontId="21" fillId="5" borderId="24" xfId="29" applyFont="1" applyFill="1" applyBorder="1" applyAlignment="1">
      <alignment horizontal="centerContinuous" vertical="center"/>
    </xf>
    <xf numFmtId="0" fontId="20" fillId="5" borderId="34" xfId="28" applyFont="1" applyFill="1" applyBorder="1" applyAlignment="1">
      <alignment horizontal="center"/>
    </xf>
    <xf numFmtId="0" fontId="20" fillId="5" borderId="23" xfId="28" applyFont="1" applyFill="1" applyBorder="1" applyAlignment="1">
      <alignment horizontal="center"/>
    </xf>
    <xf numFmtId="0" fontId="20" fillId="5" borderId="21" xfId="28" applyFont="1" applyFill="1" applyBorder="1" applyAlignment="1">
      <alignment horizontal="center"/>
    </xf>
    <xf numFmtId="0" fontId="20" fillId="5" borderId="34" xfId="29" applyFont="1" applyFill="1" applyBorder="1" applyAlignment="1">
      <alignment horizontal="center"/>
    </xf>
    <xf numFmtId="0" fontId="20" fillId="5" borderId="23" xfId="29" applyFont="1" applyFill="1" applyBorder="1" applyAlignment="1">
      <alignment horizontal="center"/>
    </xf>
    <xf numFmtId="0" fontId="20" fillId="5" borderId="21" xfId="29" applyFont="1" applyFill="1" applyBorder="1" applyAlignment="1">
      <alignment horizontal="center"/>
    </xf>
    <xf numFmtId="0" fontId="3" fillId="0" borderId="35" xfId="0" applyFont="1" applyBorder="1" applyAlignment="1">
      <alignment horizontal="center"/>
    </xf>
    <xf numFmtId="0" fontId="3" fillId="0" borderId="36" xfId="0" applyFont="1" applyBorder="1" applyAlignment="1">
      <alignment horizontal="left"/>
    </xf>
    <xf numFmtId="0" fontId="6" fillId="0" borderId="0" xfId="31" applyFont="1" applyAlignment="1">
      <alignment horizontal="right" vertical="center"/>
    </xf>
    <xf numFmtId="0" fontId="3" fillId="5" borderId="0" xfId="31" applyFont="1" applyFill="1"/>
    <xf numFmtId="0" fontId="24" fillId="0" borderId="37" xfId="0" applyFont="1" applyBorder="1" applyAlignment="1">
      <alignment horizontal="center"/>
    </xf>
    <xf numFmtId="0" fontId="24" fillId="0" borderId="25" xfId="0" applyFont="1" applyBorder="1" applyAlignment="1">
      <alignment horizontal="center"/>
    </xf>
    <xf numFmtId="0" fontId="24" fillId="0" borderId="38" xfId="0" applyFont="1" applyBorder="1" applyAlignment="1">
      <alignment horizontal="center"/>
    </xf>
    <xf numFmtId="0" fontId="3" fillId="0" borderId="0" xfId="0" applyFont="1" applyAlignment="1">
      <alignment textRotation="255"/>
    </xf>
    <xf numFmtId="0" fontId="13" fillId="0" borderId="39" xfId="0" applyFont="1" applyBorder="1" applyAlignment="1">
      <alignment horizontal="right"/>
    </xf>
    <xf numFmtId="0" fontId="6" fillId="0" borderId="40" xfId="31" applyFont="1" applyBorder="1" applyAlignment="1">
      <alignment horizontal="center" vertical="center"/>
    </xf>
    <xf numFmtId="0" fontId="6" fillId="0" borderId="40" xfId="31" applyFont="1" applyBorder="1" applyAlignment="1">
      <alignment vertical="center"/>
    </xf>
    <xf numFmtId="0" fontId="34" fillId="0" borderId="18" xfId="28" applyFont="1" applyBorder="1" applyAlignment="1">
      <alignment horizontal="center"/>
    </xf>
    <xf numFmtId="0" fontId="34" fillId="0" borderId="0" xfId="0" applyFont="1" applyAlignment="1">
      <alignment horizontal="center"/>
    </xf>
    <xf numFmtId="0" fontId="34" fillId="0" borderId="0" xfId="28" applyFont="1" applyAlignment="1">
      <alignment horizontal="center"/>
    </xf>
    <xf numFmtId="0" fontId="24" fillId="0" borderId="41" xfId="0" applyFont="1" applyBorder="1" applyAlignment="1">
      <alignment horizontal="center"/>
    </xf>
    <xf numFmtId="0" fontId="24" fillId="0" borderId="42" xfId="0" applyFont="1" applyBorder="1" applyAlignment="1">
      <alignment horizontal="center"/>
    </xf>
    <xf numFmtId="0" fontId="24" fillId="0" borderId="43" xfId="0" applyFont="1" applyBorder="1" applyAlignment="1">
      <alignment horizontal="center"/>
    </xf>
    <xf numFmtId="0" fontId="14" fillId="0" borderId="29" xfId="0" applyFont="1" applyBorder="1" applyAlignment="1">
      <alignment wrapText="1"/>
    </xf>
    <xf numFmtId="0" fontId="14" fillId="0" borderId="36" xfId="0" applyFont="1" applyBorder="1" applyAlignment="1">
      <alignment horizontal="justify" wrapText="1"/>
    </xf>
    <xf numFmtId="0" fontId="3" fillId="0" borderId="44" xfId="0" applyFont="1" applyBorder="1" applyAlignment="1">
      <alignment horizontal="center"/>
    </xf>
    <xf numFmtId="0" fontId="13" fillId="0" borderId="25" xfId="0" applyFont="1" applyBorder="1" applyAlignment="1">
      <alignment horizontal="center"/>
    </xf>
    <xf numFmtId="0" fontId="13" fillId="0" borderId="25" xfId="0" applyFont="1" applyBorder="1" applyAlignment="1">
      <alignment horizontal="center" wrapText="1"/>
    </xf>
    <xf numFmtId="0" fontId="3" fillId="0" borderId="25" xfId="0" applyFont="1" applyBorder="1"/>
    <xf numFmtId="0" fontId="10" fillId="0" borderId="25" xfId="0" applyFont="1" applyBorder="1" applyAlignment="1">
      <alignment horizontal="center" vertical="center"/>
    </xf>
    <xf numFmtId="0" fontId="13" fillId="0" borderId="25" xfId="0" applyFont="1" applyBorder="1" applyAlignment="1">
      <alignment horizontal="center" vertical="center"/>
    </xf>
    <xf numFmtId="0" fontId="13" fillId="0" borderId="25" xfId="0" applyFont="1" applyBorder="1" applyAlignment="1">
      <alignment horizontal="center" vertical="center" wrapText="1"/>
    </xf>
    <xf numFmtId="0" fontId="10" fillId="0" borderId="37" xfId="0" applyFont="1" applyBorder="1" applyAlignment="1">
      <alignment horizontal="center" wrapText="1"/>
    </xf>
    <xf numFmtId="0" fontId="11" fillId="0" borderId="25" xfId="0" applyFont="1" applyBorder="1" applyAlignment="1">
      <alignment horizontal="center"/>
    </xf>
    <xf numFmtId="0" fontId="13" fillId="0" borderId="37" xfId="0" applyFont="1" applyBorder="1" applyAlignment="1">
      <alignment horizontal="center" vertical="center" wrapText="1"/>
    </xf>
    <xf numFmtId="0" fontId="22" fillId="0" borderId="25" xfId="0" applyFont="1" applyBorder="1" applyAlignment="1">
      <alignment horizontal="center" wrapText="1"/>
    </xf>
    <xf numFmtId="0" fontId="10" fillId="0" borderId="25" xfId="0" applyFont="1" applyBorder="1" applyAlignment="1">
      <alignment horizontal="center"/>
    </xf>
    <xf numFmtId="0" fontId="10" fillId="0" borderId="25" xfId="0" applyFont="1" applyBorder="1" applyAlignment="1">
      <alignment horizontal="center" wrapText="1"/>
    </xf>
    <xf numFmtId="0" fontId="11" fillId="0" borderId="25" xfId="0" applyFont="1" applyBorder="1"/>
    <xf numFmtId="0" fontId="11" fillId="0" borderId="0" xfId="0" applyFont="1"/>
    <xf numFmtId="0" fontId="10" fillId="0" borderId="25" xfId="0" applyFont="1" applyBorder="1" applyAlignment="1">
      <alignment horizontal="center" vertical="center" wrapText="1"/>
    </xf>
    <xf numFmtId="0" fontId="3" fillId="0" borderId="0" xfId="0" applyFont="1" applyAlignment="1">
      <alignment horizontal="center" vertical="center" wrapText="1"/>
    </xf>
    <xf numFmtId="0" fontId="23" fillId="0" borderId="0" xfId="0" applyFont="1"/>
    <xf numFmtId="0" fontId="11" fillId="0" borderId="0" xfId="0" applyFont="1" applyAlignment="1">
      <alignment horizontal="center" vertical="center" wrapText="1"/>
    </xf>
    <xf numFmtId="0" fontId="36" fillId="0" borderId="0" xfId="0" applyFont="1" applyAlignment="1">
      <alignment horizontal="center"/>
    </xf>
    <xf numFmtId="0" fontId="36" fillId="0" borderId="0" xfId="0" applyFont="1"/>
    <xf numFmtId="0" fontId="14" fillId="0" borderId="36" xfId="0" applyFont="1" applyBorder="1" applyAlignment="1">
      <alignment horizontal="left"/>
    </xf>
    <xf numFmtId="0" fontId="14" fillId="0" borderId="45" xfId="0" applyFont="1" applyBorder="1" applyAlignment="1">
      <alignment horizontal="left"/>
    </xf>
    <xf numFmtId="3" fontId="13" fillId="0" borderId="46" xfId="0" applyNumberFormat="1" applyFont="1" applyBorder="1" applyAlignment="1">
      <alignment horizontal="center"/>
    </xf>
    <xf numFmtId="3" fontId="13" fillId="0" borderId="47" xfId="0" applyNumberFormat="1" applyFont="1" applyBorder="1" applyAlignment="1">
      <alignment horizontal="center"/>
    </xf>
    <xf numFmtId="3" fontId="3" fillId="5" borderId="25" xfId="0" applyNumberFormat="1" applyFont="1" applyFill="1" applyBorder="1" applyAlignment="1">
      <alignment horizontal="center"/>
    </xf>
    <xf numFmtId="3" fontId="3" fillId="5" borderId="38" xfId="0" applyNumberFormat="1" applyFont="1" applyFill="1" applyBorder="1" applyAlignment="1">
      <alignment horizontal="center"/>
    </xf>
    <xf numFmtId="0" fontId="13" fillId="0" borderId="44" xfId="0" applyFont="1" applyBorder="1" applyAlignment="1">
      <alignment horizontal="center"/>
    </xf>
    <xf numFmtId="0" fontId="13" fillId="0" borderId="48" xfId="0" applyFont="1" applyBorder="1" applyAlignment="1">
      <alignment horizontal="center"/>
    </xf>
    <xf numFmtId="0" fontId="13" fillId="0" borderId="49" xfId="0" applyFont="1" applyBorder="1" applyAlignment="1">
      <alignment horizontal="center"/>
    </xf>
    <xf numFmtId="3" fontId="3" fillId="0" borderId="50" xfId="0" applyNumberFormat="1" applyFont="1" applyBorder="1" applyProtection="1">
      <protection locked="0"/>
    </xf>
    <xf numFmtId="3" fontId="3" fillId="0" borderId="51" xfId="0" applyNumberFormat="1" applyFont="1" applyBorder="1" applyProtection="1">
      <protection locked="0"/>
    </xf>
    <xf numFmtId="4" fontId="3" fillId="0" borderId="50" xfId="0" applyNumberFormat="1" applyFont="1" applyBorder="1" applyProtection="1">
      <protection locked="0"/>
    </xf>
    <xf numFmtId="3" fontId="3" fillId="0" borderId="52" xfId="0" applyNumberFormat="1" applyFont="1" applyBorder="1" applyProtection="1">
      <protection locked="0"/>
    </xf>
    <xf numFmtId="3" fontId="3" fillId="0" borderId="53" xfId="0" applyNumberFormat="1" applyFont="1" applyBorder="1" applyProtection="1">
      <protection locked="0"/>
    </xf>
    <xf numFmtId="3" fontId="15" fillId="0" borderId="54" xfId="0" applyNumberFormat="1" applyFont="1" applyBorder="1" applyProtection="1">
      <protection locked="0"/>
    </xf>
    <xf numFmtId="3" fontId="15" fillId="0" borderId="55" xfId="0" applyNumberFormat="1" applyFont="1" applyBorder="1" applyProtection="1">
      <protection locked="0"/>
    </xf>
    <xf numFmtId="3" fontId="15" fillId="0" borderId="56" xfId="0" applyNumberFormat="1" applyFont="1" applyBorder="1" applyProtection="1">
      <protection locked="0"/>
    </xf>
    <xf numFmtId="3" fontId="15" fillId="0" borderId="57" xfId="0" applyNumberFormat="1" applyFont="1" applyBorder="1" applyProtection="1">
      <protection locked="0"/>
    </xf>
    <xf numFmtId="0" fontId="14" fillId="0" borderId="10" xfId="0" applyFont="1" applyBorder="1" applyAlignment="1">
      <alignment horizontal="justify"/>
    </xf>
    <xf numFmtId="0" fontId="13" fillId="0" borderId="58"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61" xfId="0" applyFont="1" applyBorder="1" applyAlignment="1">
      <alignment horizontal="right"/>
    </xf>
    <xf numFmtId="0" fontId="3" fillId="0" borderId="6"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xf>
    <xf numFmtId="3" fontId="3" fillId="0" borderId="10" xfId="28" applyNumberFormat="1" applyFont="1" applyBorder="1" applyProtection="1">
      <protection locked="0"/>
    </xf>
    <xf numFmtId="3" fontId="3" fillId="0" borderId="64" xfId="28" applyNumberFormat="1" applyFont="1" applyBorder="1" applyProtection="1">
      <protection locked="0"/>
    </xf>
    <xf numFmtId="3" fontId="3" fillId="0" borderId="50" xfId="28" applyNumberFormat="1" applyFont="1" applyBorder="1" applyProtection="1">
      <protection locked="0"/>
    </xf>
    <xf numFmtId="3" fontId="3" fillId="0" borderId="10" xfId="29" applyNumberFormat="1" applyFont="1" applyBorder="1" applyProtection="1">
      <protection locked="0"/>
    </xf>
    <xf numFmtId="3" fontId="3" fillId="0" borderId="64" xfId="29" applyNumberFormat="1" applyFont="1" applyBorder="1" applyProtection="1">
      <protection locked="0"/>
    </xf>
    <xf numFmtId="3" fontId="3" fillId="0" borderId="50" xfId="29" applyNumberFormat="1" applyFont="1" applyBorder="1" applyProtection="1">
      <protection locked="0"/>
    </xf>
    <xf numFmtId="0" fontId="3" fillId="0" borderId="65" xfId="0" applyFont="1" applyBorder="1" applyAlignment="1">
      <alignment horizontal="center"/>
    </xf>
    <xf numFmtId="3" fontId="3" fillId="0" borderId="35" xfId="28" applyNumberFormat="1" applyFont="1" applyBorder="1" applyProtection="1">
      <protection locked="0"/>
    </xf>
    <xf numFmtId="3" fontId="3" fillId="0" borderId="66" xfId="28" applyNumberFormat="1" applyFont="1" applyBorder="1" applyProtection="1">
      <protection locked="0"/>
    </xf>
    <xf numFmtId="3" fontId="3" fillId="0" borderId="67" xfId="28" applyNumberFormat="1" applyFont="1" applyBorder="1" applyProtection="1">
      <protection locked="0"/>
    </xf>
    <xf numFmtId="3" fontId="3" fillId="0" borderId="50" xfId="30" applyNumberFormat="1" applyFont="1" applyBorder="1" applyProtection="1">
      <protection locked="0"/>
    </xf>
    <xf numFmtId="3" fontId="3" fillId="0" borderId="35" xfId="30" applyNumberFormat="1" applyFont="1" applyBorder="1" applyProtection="1">
      <protection locked="0"/>
    </xf>
    <xf numFmtId="3" fontId="3" fillId="0" borderId="64" xfId="30" applyNumberFormat="1" applyFont="1" applyBorder="1" applyProtection="1">
      <protection locked="0"/>
    </xf>
    <xf numFmtId="3" fontId="3" fillId="0" borderId="44" xfId="30" applyNumberFormat="1" applyFont="1" applyBorder="1" applyProtection="1">
      <protection locked="0"/>
    </xf>
    <xf numFmtId="3" fontId="3" fillId="0" borderId="66" xfId="30" applyNumberFormat="1" applyFont="1" applyBorder="1" applyProtection="1">
      <protection locked="0"/>
    </xf>
    <xf numFmtId="3" fontId="3" fillId="0" borderId="9" xfId="30" applyNumberFormat="1" applyFont="1" applyBorder="1" applyProtection="1">
      <protection locked="0"/>
    </xf>
    <xf numFmtId="3" fontId="3" fillId="0" borderId="68" xfId="30" applyNumberFormat="1" applyFont="1" applyBorder="1" applyProtection="1">
      <protection locked="0"/>
    </xf>
    <xf numFmtId="0" fontId="20" fillId="0" borderId="21" xfId="0" applyFont="1" applyBorder="1" applyAlignment="1">
      <alignment horizontal="center"/>
    </xf>
    <xf numFmtId="0" fontId="20" fillId="0" borderId="22" xfId="0" applyFont="1" applyBorder="1" applyAlignment="1">
      <alignment horizontal="center"/>
    </xf>
    <xf numFmtId="0" fontId="25" fillId="0" borderId="69" xfId="0" applyFont="1" applyBorder="1" applyAlignment="1">
      <alignment horizontal="center" textRotation="255" wrapText="1"/>
    </xf>
    <xf numFmtId="0" fontId="25" fillId="0" borderId="70" xfId="0" applyFont="1" applyBorder="1" applyAlignment="1">
      <alignment horizontal="center" textRotation="255" wrapText="1"/>
    </xf>
    <xf numFmtId="0" fontId="25" fillId="0" borderId="70" xfId="0" quotePrefix="1" applyFont="1" applyBorder="1" applyAlignment="1">
      <alignment horizontal="center" textRotation="255" wrapText="1"/>
    </xf>
    <xf numFmtId="3" fontId="3" fillId="0" borderId="66" xfId="0" applyNumberFormat="1" applyFont="1" applyBorder="1" applyProtection="1">
      <protection locked="0"/>
    </xf>
    <xf numFmtId="3" fontId="3" fillId="0" borderId="37" xfId="0" applyNumberFormat="1" applyFont="1" applyBorder="1" applyProtection="1">
      <protection locked="0"/>
    </xf>
    <xf numFmtId="3" fontId="3" fillId="0" borderId="35" xfId="0" applyNumberFormat="1" applyFont="1" applyBorder="1" applyProtection="1">
      <protection locked="0"/>
    </xf>
    <xf numFmtId="3" fontId="3" fillId="0" borderId="67" xfId="0" applyNumberFormat="1" applyFont="1" applyBorder="1" applyProtection="1">
      <protection locked="0"/>
    </xf>
    <xf numFmtId="3" fontId="3" fillId="0" borderId="25" xfId="0" applyNumberFormat="1" applyFont="1" applyBorder="1" applyProtection="1">
      <protection locked="0"/>
    </xf>
    <xf numFmtId="3" fontId="3" fillId="0" borderId="71" xfId="0" applyNumberFormat="1" applyFont="1" applyBorder="1" applyProtection="1">
      <protection locked="0"/>
    </xf>
    <xf numFmtId="3" fontId="3" fillId="0" borderId="50" xfId="31" applyNumberFormat="1" applyFont="1" applyBorder="1" applyProtection="1">
      <protection locked="0"/>
    </xf>
    <xf numFmtId="3" fontId="3" fillId="0" borderId="35" xfId="31" applyNumberFormat="1" applyFont="1" applyBorder="1" applyProtection="1">
      <protection locked="0"/>
    </xf>
    <xf numFmtId="3" fontId="3" fillId="0" borderId="64" xfId="31" applyNumberFormat="1" applyFont="1" applyBorder="1" applyProtection="1">
      <protection locked="0"/>
    </xf>
    <xf numFmtId="3" fontId="3" fillId="0" borderId="44" xfId="31" applyNumberFormat="1" applyFont="1" applyBorder="1" applyProtection="1">
      <protection locked="0"/>
    </xf>
    <xf numFmtId="3" fontId="3" fillId="0" borderId="66" xfId="31" applyNumberFormat="1" applyFont="1" applyBorder="1" applyProtection="1">
      <protection locked="0"/>
    </xf>
    <xf numFmtId="3" fontId="3" fillId="0" borderId="65" xfId="31" applyNumberFormat="1" applyFont="1" applyBorder="1" applyProtection="1">
      <protection locked="0"/>
    </xf>
    <xf numFmtId="0" fontId="13" fillId="0" borderId="4" xfId="32" applyFont="1" applyBorder="1" applyAlignment="1">
      <alignment horizontal="center"/>
    </xf>
    <xf numFmtId="0" fontId="39" fillId="0" borderId="0" xfId="0" applyFont="1"/>
    <xf numFmtId="0" fontId="3" fillId="0" borderId="7" xfId="0" applyFont="1" applyBorder="1"/>
    <xf numFmtId="0" fontId="3" fillId="0" borderId="26" xfId="0" applyFont="1" applyBorder="1"/>
    <xf numFmtId="3" fontId="3" fillId="0" borderId="72" xfId="33" applyNumberFormat="1" applyFont="1" applyBorder="1" applyProtection="1">
      <protection locked="0"/>
    </xf>
    <xf numFmtId="3" fontId="3" fillId="0" borderId="65" xfId="33" applyNumberFormat="1" applyFont="1" applyBorder="1" applyProtection="1">
      <protection locked="0"/>
    </xf>
    <xf numFmtId="3" fontId="3" fillId="0" borderId="67" xfId="33" applyNumberFormat="1" applyFont="1" applyBorder="1" applyProtection="1">
      <protection locked="0"/>
    </xf>
    <xf numFmtId="3" fontId="3" fillId="0" borderId="63" xfId="33" applyNumberFormat="1" applyFont="1" applyBorder="1" applyProtection="1">
      <protection locked="0"/>
    </xf>
    <xf numFmtId="0" fontId="18" fillId="0" borderId="73" xfId="33" applyFont="1" applyBorder="1" applyAlignment="1">
      <alignment horizontal="centerContinuous" vertical="center"/>
    </xf>
    <xf numFmtId="0" fontId="10" fillId="0" borderId="74" xfId="31" applyFont="1" applyBorder="1" applyAlignment="1">
      <alignment horizontal="center" vertical="center"/>
    </xf>
    <xf numFmtId="0" fontId="10" fillId="0" borderId="74" xfId="30" applyFont="1" applyBorder="1" applyAlignment="1">
      <alignment horizontal="center" vertical="center"/>
    </xf>
    <xf numFmtId="0" fontId="10" fillId="0" borderId="74" xfId="29" applyFont="1" applyBorder="1" applyAlignment="1">
      <alignment horizontal="center" vertical="center"/>
    </xf>
    <xf numFmtId="0" fontId="10" fillId="0" borderId="74" xfId="28" applyFont="1" applyBorder="1" applyAlignment="1">
      <alignment horizontal="center" vertical="center"/>
    </xf>
    <xf numFmtId="0" fontId="10" fillId="0" borderId="13" xfId="28" applyFont="1" applyBorder="1" applyAlignment="1">
      <alignment horizontal="center" vertical="center"/>
    </xf>
    <xf numFmtId="0" fontId="11" fillId="0" borderId="20" xfId="28" applyFont="1" applyBorder="1" applyAlignment="1">
      <alignment horizontal="center"/>
    </xf>
    <xf numFmtId="0" fontId="11" fillId="0" borderId="75" xfId="0" applyFont="1" applyBorder="1" applyAlignment="1">
      <alignment horizontal="center"/>
    </xf>
    <xf numFmtId="0" fontId="11" fillId="0" borderId="76" xfId="0" applyFont="1" applyBorder="1" applyAlignment="1">
      <alignment horizontal="center"/>
    </xf>
    <xf numFmtId="0" fontId="39" fillId="0" borderId="77" xfId="33" applyFont="1" applyBorder="1" applyAlignment="1">
      <alignment horizontal="center"/>
    </xf>
    <xf numFmtId="0" fontId="39" fillId="0" borderId="15" xfId="33" applyFont="1" applyBorder="1" applyAlignment="1">
      <alignment horizontal="center"/>
    </xf>
    <xf numFmtId="0" fontId="39" fillId="0" borderId="0" xfId="33" applyFont="1"/>
    <xf numFmtId="0" fontId="39" fillId="0" borderId="20" xfId="0" applyFont="1" applyBorder="1" applyAlignment="1">
      <alignment horizontal="center"/>
    </xf>
    <xf numFmtId="0" fontId="32" fillId="0" borderId="21" xfId="0" applyFont="1" applyBorder="1" applyAlignment="1">
      <alignment horizontal="center"/>
    </xf>
    <xf numFmtId="0" fontId="32" fillId="0" borderId="78" xfId="0" applyFont="1" applyBorder="1" applyAlignment="1">
      <alignment horizontal="center"/>
    </xf>
    <xf numFmtId="0" fontId="13" fillId="0" borderId="79" xfId="0" applyFont="1" applyBorder="1" applyAlignment="1">
      <alignment horizontal="center"/>
    </xf>
    <xf numFmtId="0" fontId="6" fillId="0" borderId="80" xfId="0" applyFont="1" applyBorder="1" applyAlignment="1">
      <alignment horizontal="center" vertical="center"/>
    </xf>
    <xf numFmtId="0" fontId="13" fillId="0" borderId="81" xfId="0" applyFont="1" applyBorder="1" applyAlignment="1">
      <alignment horizontal="centerContinuous" vertical="center" wrapText="1"/>
    </xf>
    <xf numFmtId="0" fontId="2" fillId="0" borderId="82" xfId="33" applyFont="1" applyBorder="1" applyAlignment="1">
      <alignment horizontal="left" vertical="top"/>
    </xf>
    <xf numFmtId="0" fontId="13" fillId="0" borderId="39" xfId="28" applyFont="1" applyBorder="1" applyAlignment="1">
      <alignment horizontal="right"/>
    </xf>
    <xf numFmtId="0" fontId="6" fillId="0" borderId="61" xfId="0" applyFont="1" applyBorder="1" applyAlignment="1">
      <alignment horizontal="right" vertical="center"/>
    </xf>
    <xf numFmtId="0" fontId="13" fillId="0" borderId="54" xfId="0" applyFont="1" applyBorder="1" applyAlignment="1">
      <alignment horizontal="centerContinuous" vertical="center"/>
    </xf>
    <xf numFmtId="0" fontId="20" fillId="0" borderId="23" xfId="0" applyFont="1" applyBorder="1" applyAlignment="1">
      <alignment horizontal="center"/>
    </xf>
    <xf numFmtId="0" fontId="3" fillId="0" borderId="4" xfId="33" applyFont="1" applyBorder="1" applyAlignment="1">
      <alignment horizontal="center"/>
    </xf>
    <xf numFmtId="0" fontId="13" fillId="0" borderId="7" xfId="33" applyFont="1" applyBorder="1" applyAlignment="1">
      <alignment horizontal="centerContinuous" vertical="center"/>
    </xf>
    <xf numFmtId="0" fontId="13" fillId="0" borderId="26" xfId="33" applyFont="1" applyBorder="1" applyAlignment="1">
      <alignment horizontal="centerContinuous" vertical="center"/>
    </xf>
    <xf numFmtId="0" fontId="6" fillId="0" borderId="7" xfId="28" applyFont="1" applyBorder="1" applyAlignment="1">
      <alignment horizontal="centerContinuous" vertical="center"/>
    </xf>
    <xf numFmtId="0" fontId="22" fillId="0" borderId="83" xfId="0" applyFont="1" applyBorder="1" applyAlignment="1">
      <alignment horizontal="left" vertical="center" wrapText="1"/>
    </xf>
    <xf numFmtId="0" fontId="3" fillId="0" borderId="82" xfId="0" applyFont="1" applyBorder="1" applyAlignment="1">
      <alignment horizontal="centerContinuous"/>
    </xf>
    <xf numFmtId="0" fontId="22" fillId="0" borderId="79" xfId="0" applyFont="1" applyBorder="1" applyAlignment="1">
      <alignment horizontal="centerContinuous" vertical="center" wrapText="1"/>
    </xf>
    <xf numFmtId="0" fontId="13" fillId="0" borderId="15" xfId="0" applyFont="1" applyBorder="1" applyAlignment="1">
      <alignment horizontal="center" vertical="center" wrapText="1"/>
    </xf>
    <xf numFmtId="0" fontId="22" fillId="0" borderId="74" xfId="0" applyFont="1" applyBorder="1" applyAlignment="1">
      <alignment horizontal="centerContinuous" vertical="center" wrapText="1"/>
    </xf>
    <xf numFmtId="0" fontId="22" fillId="0" borderId="84" xfId="0" applyFont="1" applyBorder="1" applyAlignment="1">
      <alignment horizontal="center" vertical="center"/>
    </xf>
    <xf numFmtId="0" fontId="13" fillId="0" borderId="78" xfId="0" applyFont="1" applyBorder="1" applyAlignment="1">
      <alignment horizontal="center" wrapText="1"/>
    </xf>
    <xf numFmtId="0" fontId="7" fillId="0" borderId="0" xfId="0" applyFont="1" applyAlignment="1">
      <alignment horizontal="left" vertical="top"/>
    </xf>
    <xf numFmtId="0" fontId="27" fillId="0" borderId="0" xfId="0" applyFont="1" applyAlignment="1">
      <alignment horizontal="right" vertical="top"/>
    </xf>
    <xf numFmtId="0" fontId="6" fillId="0" borderId="7" xfId="0" applyFont="1" applyBorder="1" applyAlignment="1">
      <alignment horizontal="centerContinuous" vertical="center"/>
    </xf>
    <xf numFmtId="0" fontId="23" fillId="0" borderId="0" xfId="0" applyFont="1" applyAlignment="1">
      <alignment horizontal="center"/>
    </xf>
    <xf numFmtId="0" fontId="7" fillId="0" borderId="0" xfId="0" applyFont="1" applyAlignment="1">
      <alignment vertical="top" wrapText="1"/>
    </xf>
    <xf numFmtId="0" fontId="28" fillId="0" borderId="0" xfId="0" applyFont="1" applyAlignment="1">
      <alignment vertical="center" wrapText="1"/>
    </xf>
    <xf numFmtId="0" fontId="33" fillId="0" borderId="0" xfId="0" applyFont="1"/>
    <xf numFmtId="0" fontId="23" fillId="0" borderId="0" xfId="0" applyFont="1" applyAlignment="1">
      <alignment horizontal="left"/>
    </xf>
    <xf numFmtId="38" fontId="14" fillId="0" borderId="37" xfId="5" applyNumberFormat="1" applyFont="1" applyBorder="1"/>
    <xf numFmtId="38" fontId="14" fillId="0" borderId="25" xfId="5" applyNumberFormat="1" applyFont="1" applyBorder="1"/>
    <xf numFmtId="38" fontId="14" fillId="0" borderId="48" xfId="5" applyNumberFormat="1" applyFont="1" applyBorder="1"/>
    <xf numFmtId="0" fontId="14" fillId="0" borderId="25" xfId="0" applyFont="1" applyBorder="1" applyAlignment="1">
      <alignment horizontal="center"/>
    </xf>
    <xf numFmtId="0" fontId="14" fillId="0" borderId="37" xfId="0" applyFont="1" applyBorder="1" applyAlignment="1">
      <alignment horizontal="center"/>
    </xf>
    <xf numFmtId="3" fontId="3" fillId="5" borderId="50" xfId="0" applyNumberFormat="1" applyFont="1" applyFill="1" applyBorder="1" applyProtection="1">
      <protection locked="0"/>
    </xf>
    <xf numFmtId="3" fontId="3" fillId="5" borderId="35" xfId="0" applyNumberFormat="1" applyFont="1" applyFill="1" applyBorder="1" applyProtection="1">
      <protection locked="0"/>
    </xf>
    <xf numFmtId="0" fontId="40" fillId="0" borderId="82" xfId="0" applyFont="1" applyBorder="1" applyAlignment="1">
      <alignment horizontal="right" vertical="center" wrapText="1"/>
    </xf>
    <xf numFmtId="3" fontId="3" fillId="0" borderId="8" xfId="32" applyNumberFormat="1" applyFont="1" applyBorder="1" applyProtection="1">
      <protection locked="0"/>
    </xf>
    <xf numFmtId="3" fontId="3" fillId="0" borderId="85" xfId="32" applyNumberFormat="1" applyFont="1" applyBorder="1" applyProtection="1">
      <protection locked="0"/>
    </xf>
    <xf numFmtId="3" fontId="3" fillId="0" borderId="65" xfId="32" applyNumberFormat="1" applyFont="1" applyBorder="1" applyProtection="1">
      <protection locked="0"/>
    </xf>
    <xf numFmtId="3" fontId="3" fillId="0" borderId="86" xfId="32" applyNumberFormat="1" applyFont="1" applyBorder="1" applyProtection="1">
      <protection locked="0"/>
    </xf>
    <xf numFmtId="3" fontId="3" fillId="0" borderId="9" xfId="32" applyNumberFormat="1" applyFont="1" applyBorder="1" applyProtection="1">
      <protection locked="0"/>
    </xf>
    <xf numFmtId="3" fontId="3" fillId="0" borderId="50" xfId="32" applyNumberFormat="1" applyFont="1" applyBorder="1" applyProtection="1">
      <protection locked="0"/>
    </xf>
    <xf numFmtId="3" fontId="3" fillId="0" borderId="44" xfId="32" applyNumberFormat="1" applyFont="1" applyBorder="1" applyProtection="1">
      <protection locked="0"/>
    </xf>
    <xf numFmtId="3" fontId="3" fillId="0" borderId="35" xfId="32" applyNumberFormat="1" applyFont="1" applyBorder="1" applyProtection="1">
      <protection locked="0"/>
    </xf>
    <xf numFmtId="3" fontId="3" fillId="0" borderId="66" xfId="32" applyNumberFormat="1" applyFont="1" applyBorder="1" applyProtection="1">
      <protection locked="0"/>
    </xf>
    <xf numFmtId="3" fontId="3" fillId="0" borderId="68" xfId="32" applyNumberFormat="1" applyFont="1" applyBorder="1" applyProtection="1">
      <protection locked="0"/>
    </xf>
    <xf numFmtId="3" fontId="3" fillId="5" borderId="25" xfId="0" applyNumberFormat="1" applyFont="1" applyFill="1" applyBorder="1"/>
    <xf numFmtId="3" fontId="3" fillId="0" borderId="25" xfId="0" applyNumberFormat="1" applyFont="1" applyBorder="1"/>
    <xf numFmtId="40" fontId="14" fillId="0" borderId="25" xfId="5" applyFont="1" applyBorder="1" applyAlignment="1"/>
    <xf numFmtId="38" fontId="14" fillId="0" borderId="25" xfId="5" applyNumberFormat="1" applyFont="1" applyBorder="1" applyAlignment="1"/>
    <xf numFmtId="4" fontId="14" fillId="0" borderId="25" xfId="0" applyNumberFormat="1" applyFont="1" applyBorder="1"/>
    <xf numFmtId="10" fontId="14" fillId="0" borderId="25" xfId="35" applyNumberFormat="1" applyFont="1" applyBorder="1" applyAlignment="1"/>
    <xf numFmtId="0" fontId="14" fillId="0" borderId="87" xfId="0" applyFont="1" applyBorder="1" applyAlignment="1">
      <alignment horizontal="center" vertical="center" wrapText="1"/>
    </xf>
    <xf numFmtId="0" fontId="13" fillId="0" borderId="0" xfId="0" applyFont="1"/>
    <xf numFmtId="0" fontId="7" fillId="0" borderId="0" xfId="0" applyFont="1" applyAlignment="1">
      <alignment horizontal="left" vertical="top" wrapText="1"/>
    </xf>
    <xf numFmtId="164" fontId="41" fillId="0" borderId="0" xfId="24" applyAlignment="1">
      <alignment vertical="center"/>
    </xf>
    <xf numFmtId="164" fontId="42" fillId="0" borderId="0" xfId="24" applyFont="1" applyAlignment="1">
      <alignment vertical="center"/>
    </xf>
    <xf numFmtId="164" fontId="24" fillId="0" borderId="0" xfId="24" applyFont="1" applyAlignment="1">
      <alignment horizontal="left" vertical="center"/>
    </xf>
    <xf numFmtId="164" fontId="14" fillId="0" borderId="0" xfId="24" applyFont="1" applyAlignment="1">
      <alignment horizontal="left" vertical="top"/>
    </xf>
    <xf numFmtId="164" fontId="46" fillId="0" borderId="0" xfId="24" applyFont="1" applyAlignment="1">
      <alignment vertical="top"/>
    </xf>
    <xf numFmtId="164" fontId="46" fillId="0" borderId="0" xfId="24" applyFont="1" applyAlignment="1">
      <alignment vertical="center"/>
    </xf>
    <xf numFmtId="164" fontId="41" fillId="0" borderId="0" xfId="26" applyNumberFormat="1" applyFont="1" applyAlignment="1">
      <alignment vertical="center"/>
    </xf>
    <xf numFmtId="164" fontId="48" fillId="0" borderId="0" xfId="24" applyFont="1" applyAlignment="1">
      <alignment vertical="center"/>
    </xf>
    <xf numFmtId="164" fontId="9" fillId="0" borderId="0" xfId="24" applyFont="1" applyAlignment="1">
      <alignment horizontal="left" vertical="center"/>
    </xf>
    <xf numFmtId="0" fontId="49" fillId="0" borderId="65" xfId="0" applyFont="1" applyBorder="1" applyAlignment="1">
      <alignment horizontal="center"/>
    </xf>
    <xf numFmtId="0" fontId="49" fillId="0" borderId="35" xfId="0" applyFont="1" applyBorder="1" applyAlignment="1">
      <alignment horizontal="center"/>
    </xf>
    <xf numFmtId="3" fontId="3" fillId="0" borderId="0" xfId="0" applyNumberFormat="1" applyFont="1" applyAlignment="1">
      <alignment horizontal="center"/>
    </xf>
    <xf numFmtId="3" fontId="3" fillId="0" borderId="0" xfId="0" applyNumberFormat="1" applyFont="1"/>
    <xf numFmtId="4" fontId="50" fillId="0" borderId="25" xfId="0" applyNumberFormat="1" applyFont="1" applyBorder="1" applyAlignment="1">
      <alignment horizontal="center"/>
    </xf>
    <xf numFmtId="3" fontId="13" fillId="0" borderId="25" xfId="0" applyNumberFormat="1" applyFont="1" applyBorder="1"/>
    <xf numFmtId="0" fontId="3" fillId="0" borderId="27" xfId="0" applyFont="1" applyBorder="1" applyAlignment="1">
      <alignment horizontal="centerContinuous"/>
    </xf>
    <xf numFmtId="0" fontId="3" fillId="0" borderId="88" xfId="0" applyFont="1" applyBorder="1" applyAlignment="1">
      <alignment horizontal="center"/>
    </xf>
    <xf numFmtId="164" fontId="24" fillId="0" borderId="0" xfId="24" applyFont="1" applyAlignment="1">
      <alignment vertical="center"/>
    </xf>
    <xf numFmtId="164" fontId="43" fillId="0" borderId="0" xfId="24" applyFont="1" applyAlignment="1">
      <alignment vertical="center"/>
    </xf>
    <xf numFmtId="0" fontId="14" fillId="0" borderId="0" xfId="20" applyFont="1" applyAlignment="1">
      <alignment vertical="center"/>
    </xf>
    <xf numFmtId="164" fontId="14" fillId="0" borderId="0" xfId="24" applyFont="1" applyAlignment="1">
      <alignment vertical="top"/>
    </xf>
    <xf numFmtId="164" fontId="13" fillId="0" borderId="0" xfId="24" applyFont="1" applyAlignment="1">
      <alignment vertical="center"/>
    </xf>
    <xf numFmtId="164" fontId="14" fillId="0" borderId="0" xfId="24" applyFont="1" applyAlignment="1">
      <alignment vertical="center"/>
    </xf>
    <xf numFmtId="164" fontId="47" fillId="0" borderId="0" xfId="24" applyFont="1" applyAlignment="1">
      <alignment horizontal="left" vertical="center" wrapText="1"/>
    </xf>
    <xf numFmtId="0" fontId="45" fillId="0" borderId="0" xfId="20" applyFont="1" applyAlignment="1">
      <alignment horizontal="left" vertical="center"/>
    </xf>
    <xf numFmtId="0" fontId="26" fillId="0" borderId="0" xfId="20" applyFont="1" applyAlignment="1">
      <alignment horizontal="center" vertical="center"/>
    </xf>
    <xf numFmtId="164" fontId="9" fillId="0" borderId="0" xfId="26" applyNumberFormat="1" applyFont="1" applyAlignment="1">
      <alignment vertical="center"/>
    </xf>
    <xf numFmtId="164" fontId="23" fillId="0" borderId="0" xfId="26" applyNumberFormat="1" applyFont="1" applyAlignment="1">
      <alignment vertical="center"/>
    </xf>
    <xf numFmtId="164" fontId="24" fillId="0" borderId="0" xfId="26" applyNumberFormat="1" applyFont="1" applyAlignment="1">
      <alignment vertical="center"/>
    </xf>
    <xf numFmtId="0" fontId="22" fillId="0" borderId="0" xfId="0" applyFont="1" applyAlignment="1">
      <alignment horizontal="center" vertical="top"/>
    </xf>
    <xf numFmtId="0" fontId="15" fillId="0" borderId="0" xfId="26"/>
    <xf numFmtId="164" fontId="22" fillId="0" borderId="25" xfId="24" applyFont="1" applyBorder="1" applyAlignment="1">
      <alignment horizontal="center" vertical="center"/>
    </xf>
    <xf numFmtId="0" fontId="30" fillId="0" borderId="0" xfId="22" applyAlignment="1">
      <alignment vertical="center"/>
    </xf>
    <xf numFmtId="167" fontId="42" fillId="0" borderId="0" xfId="24" applyNumberFormat="1" applyFont="1" applyAlignment="1">
      <alignment vertical="center"/>
    </xf>
    <xf numFmtId="164" fontId="52" fillId="0" borderId="0" xfId="24" applyFont="1" applyAlignment="1">
      <alignment vertical="center"/>
    </xf>
    <xf numFmtId="167" fontId="41" fillId="0" borderId="0" xfId="24" applyNumberFormat="1" applyAlignment="1" applyProtection="1">
      <alignment vertical="center"/>
      <protection locked="0"/>
    </xf>
    <xf numFmtId="0" fontId="3" fillId="0" borderId="65" xfId="33" applyFont="1" applyBorder="1" applyAlignment="1">
      <alignment horizontal="centerContinuous" vertical="center" wrapText="1"/>
    </xf>
    <xf numFmtId="0" fontId="17" fillId="0" borderId="72" xfId="33" applyFont="1" applyBorder="1" applyAlignment="1">
      <alignment horizontal="centerContinuous" vertical="center" wrapText="1"/>
    </xf>
    <xf numFmtId="0" fontId="13" fillId="0" borderId="0" xfId="33" applyFont="1" applyAlignment="1">
      <alignment horizontal="centerContinuous" vertical="center"/>
    </xf>
    <xf numFmtId="0" fontId="17" fillId="0" borderId="89" xfId="33" applyFont="1" applyBorder="1" applyAlignment="1">
      <alignment horizontal="centerContinuous" vertical="center" wrapText="1"/>
    </xf>
    <xf numFmtId="0" fontId="18" fillId="0" borderId="90" xfId="33" applyFont="1" applyBorder="1" applyAlignment="1">
      <alignment horizontal="centerContinuous" vertical="center"/>
    </xf>
    <xf numFmtId="1" fontId="3" fillId="0" borderId="0" xfId="0" applyNumberFormat="1" applyFont="1"/>
    <xf numFmtId="1" fontId="13" fillId="0" borderId="25" xfId="0" applyNumberFormat="1" applyFont="1" applyBorder="1" applyAlignment="1">
      <alignment horizontal="center" vertical="center" wrapText="1"/>
    </xf>
    <xf numFmtId="1" fontId="10" fillId="0" borderId="25" xfId="0" applyNumberFormat="1" applyFont="1" applyBorder="1" applyAlignment="1">
      <alignment horizontal="center" vertical="center" wrapText="1"/>
    </xf>
    <xf numFmtId="1" fontId="3" fillId="0" borderId="0" xfId="0" applyNumberFormat="1" applyFont="1" applyAlignment="1">
      <alignment horizontal="center"/>
    </xf>
    <xf numFmtId="3" fontId="13" fillId="0" borderId="25" xfId="0" applyNumberFormat="1" applyFont="1" applyBorder="1" applyAlignment="1">
      <alignment horizontal="center" vertical="center" wrapText="1"/>
    </xf>
    <xf numFmtId="3" fontId="10" fillId="0" borderId="25" xfId="0" applyNumberFormat="1" applyFont="1" applyBorder="1" applyAlignment="1">
      <alignment horizontal="center" vertical="center" wrapText="1"/>
    </xf>
    <xf numFmtId="0" fontId="53" fillId="0" borderId="0" xfId="0" applyFont="1"/>
    <xf numFmtId="38" fontId="53" fillId="0" borderId="0" xfId="0" applyNumberFormat="1" applyFont="1"/>
    <xf numFmtId="0" fontId="54" fillId="0" borderId="0" xfId="0" applyFont="1"/>
    <xf numFmtId="0" fontId="30" fillId="0" borderId="0" xfId="0" applyFont="1"/>
    <xf numFmtId="0" fontId="55" fillId="0" borderId="0" xfId="0" applyFont="1"/>
    <xf numFmtId="10" fontId="30" fillId="0" borderId="76" xfId="35" applyNumberFormat="1" applyFont="1" applyBorder="1" applyAlignment="1">
      <alignment horizontal="center"/>
    </xf>
    <xf numFmtId="10" fontId="30" fillId="0" borderId="56" xfId="35" applyNumberFormat="1" applyFont="1" applyBorder="1" applyAlignment="1">
      <alignment horizontal="center"/>
    </xf>
    <xf numFmtId="10" fontId="30" fillId="0" borderId="91" xfId="35" applyNumberFormat="1" applyFont="1" applyBorder="1" applyAlignment="1">
      <alignment horizontal="center"/>
    </xf>
    <xf numFmtId="10" fontId="31" fillId="0" borderId="48" xfId="35" applyNumberFormat="1" applyFont="1" applyBorder="1" applyAlignment="1">
      <alignment horizontal="center" wrapText="1"/>
    </xf>
    <xf numFmtId="10" fontId="30" fillId="0" borderId="48" xfId="35" applyNumberFormat="1" applyFont="1" applyBorder="1" applyAlignment="1">
      <alignment horizontal="center"/>
    </xf>
    <xf numFmtId="10" fontId="30" fillId="0" borderId="44" xfId="35" applyNumberFormat="1" applyFont="1" applyBorder="1" applyAlignment="1">
      <alignment horizontal="center"/>
    </xf>
    <xf numFmtId="168" fontId="3" fillId="5" borderId="50" xfId="0" applyNumberFormat="1" applyFont="1" applyFill="1" applyBorder="1"/>
    <xf numFmtId="168" fontId="3" fillId="5" borderId="76" xfId="0" applyNumberFormat="1" applyFont="1" applyFill="1" applyBorder="1"/>
    <xf numFmtId="168" fontId="3" fillId="0" borderId="92" xfId="0" applyNumberFormat="1" applyFont="1" applyBorder="1"/>
    <xf numFmtId="168" fontId="3" fillId="0" borderId="93" xfId="0" applyNumberFormat="1" applyFont="1" applyBorder="1"/>
    <xf numFmtId="168" fontId="3" fillId="0" borderId="94" xfId="0" applyNumberFormat="1" applyFont="1" applyBorder="1"/>
    <xf numFmtId="168" fontId="3" fillId="0" borderId="39" xfId="28" applyNumberFormat="1" applyFont="1" applyBorder="1"/>
    <xf numFmtId="168" fontId="3" fillId="0" borderId="93" xfId="28" applyNumberFormat="1" applyFont="1" applyBorder="1"/>
    <xf numFmtId="168" fontId="3" fillId="0" borderId="92" xfId="28" applyNumberFormat="1" applyFont="1" applyBorder="1"/>
    <xf numFmtId="168" fontId="3" fillId="5" borderId="51" xfId="0" applyNumberFormat="1" applyFont="1" applyFill="1" applyBorder="1"/>
    <xf numFmtId="168" fontId="3" fillId="5" borderId="95" xfId="0" applyNumberFormat="1" applyFont="1" applyFill="1" applyBorder="1" applyAlignment="1">
      <alignment vertical="center"/>
    </xf>
    <xf numFmtId="168" fontId="3" fillId="0" borderId="92" xfId="0" applyNumberFormat="1" applyFont="1" applyBorder="1" applyAlignment="1">
      <alignment vertical="center"/>
    </xf>
    <xf numFmtId="168" fontId="3" fillId="0" borderId="96" xfId="0" applyNumberFormat="1" applyFont="1" applyBorder="1" applyAlignment="1">
      <alignment vertical="center"/>
    </xf>
    <xf numFmtId="168" fontId="3" fillId="0" borderId="72" xfId="28" applyNumberFormat="1" applyFont="1" applyBorder="1"/>
    <xf numFmtId="168" fontId="3" fillId="0" borderId="75" xfId="28" applyNumberFormat="1" applyFont="1" applyBorder="1"/>
    <xf numFmtId="168" fontId="3" fillId="0" borderId="52" xfId="28" applyNumberFormat="1" applyFont="1" applyBorder="1"/>
    <xf numFmtId="168" fontId="3" fillId="0" borderId="76" xfId="28" applyNumberFormat="1" applyFont="1" applyBorder="1"/>
    <xf numFmtId="168" fontId="14" fillId="0" borderId="67" xfId="29" applyNumberFormat="1" applyFont="1" applyBorder="1"/>
    <xf numFmtId="168" fontId="14" fillId="0" borderId="56" xfId="29" applyNumberFormat="1" applyFont="1" applyBorder="1"/>
    <xf numFmtId="168" fontId="14" fillId="5" borderId="92" xfId="29" applyNumberFormat="1" applyFont="1" applyFill="1" applyBorder="1"/>
    <xf numFmtId="168" fontId="14" fillId="5" borderId="94" xfId="29" applyNumberFormat="1" applyFont="1" applyFill="1" applyBorder="1"/>
    <xf numFmtId="168" fontId="14" fillId="5" borderId="93" xfId="29" applyNumberFormat="1" applyFont="1" applyFill="1" applyBorder="1"/>
    <xf numFmtId="168" fontId="3" fillId="5" borderId="92" xfId="30" applyNumberFormat="1" applyFont="1" applyFill="1" applyBorder="1"/>
    <xf numFmtId="168" fontId="3" fillId="5" borderId="93" xfId="30" applyNumberFormat="1" applyFont="1" applyFill="1" applyBorder="1"/>
    <xf numFmtId="168" fontId="3" fillId="5" borderId="94" xfId="30" applyNumberFormat="1" applyFont="1" applyFill="1" applyBorder="1"/>
    <xf numFmtId="168" fontId="3" fillId="5" borderId="66" xfId="30" applyNumberFormat="1" applyFont="1" applyFill="1" applyBorder="1"/>
    <xf numFmtId="168" fontId="3" fillId="5" borderId="97" xfId="30" applyNumberFormat="1" applyFont="1" applyFill="1" applyBorder="1"/>
    <xf numFmtId="168" fontId="3" fillId="5" borderId="54" xfId="30" applyNumberFormat="1" applyFont="1" applyFill="1" applyBorder="1"/>
    <xf numFmtId="168" fontId="3" fillId="5" borderId="72" xfId="31" applyNumberFormat="1" applyFont="1" applyFill="1" applyBorder="1"/>
    <xf numFmtId="168" fontId="3" fillId="5" borderId="97" xfId="31" applyNumberFormat="1" applyFont="1" applyFill="1" applyBorder="1"/>
    <xf numFmtId="168" fontId="3" fillId="5" borderId="52" xfId="31" applyNumberFormat="1" applyFont="1" applyFill="1" applyBorder="1"/>
    <xf numFmtId="168" fontId="3" fillId="5" borderId="54" xfId="31" applyNumberFormat="1" applyFont="1" applyFill="1" applyBorder="1"/>
    <xf numFmtId="168" fontId="3" fillId="5" borderId="92" xfId="31" applyNumberFormat="1" applyFont="1" applyFill="1" applyBorder="1"/>
    <xf numFmtId="168" fontId="3" fillId="5" borderId="94" xfId="31" applyNumberFormat="1" applyFont="1" applyFill="1" applyBorder="1"/>
    <xf numFmtId="168" fontId="3" fillId="5" borderId="93" xfId="31" applyNumberFormat="1" applyFont="1" applyFill="1" applyBorder="1"/>
    <xf numFmtId="168" fontId="3" fillId="5" borderId="67" xfId="32" applyNumberFormat="1" applyFont="1" applyFill="1" applyBorder="1"/>
    <xf numFmtId="168" fontId="3" fillId="5" borderId="63" xfId="32" applyNumberFormat="1" applyFont="1" applyFill="1" applyBorder="1"/>
    <xf numFmtId="168" fontId="3" fillId="5" borderId="92" xfId="32" applyNumberFormat="1" applyFont="1" applyFill="1" applyBorder="1"/>
    <xf numFmtId="168" fontId="3" fillId="5" borderId="93" xfId="32" applyNumberFormat="1" applyFont="1" applyFill="1" applyBorder="1"/>
    <xf numFmtId="168" fontId="3" fillId="5" borderId="92" xfId="33" applyNumberFormat="1" applyFont="1" applyFill="1" applyBorder="1"/>
    <xf numFmtId="168" fontId="3" fillId="5" borderId="93" xfId="33" applyNumberFormat="1" applyFont="1" applyFill="1" applyBorder="1"/>
    <xf numFmtId="168" fontId="3" fillId="5" borderId="94" xfId="33" applyNumberFormat="1" applyFont="1" applyFill="1" applyBorder="1"/>
    <xf numFmtId="0" fontId="3" fillId="0" borderId="98" xfId="33" applyFont="1" applyBorder="1" applyAlignment="1">
      <alignment horizontal="centerContinuous" vertical="center" wrapText="1"/>
    </xf>
    <xf numFmtId="168" fontId="3" fillId="5" borderId="99" xfId="0" applyNumberFormat="1" applyFont="1" applyFill="1" applyBorder="1"/>
    <xf numFmtId="168" fontId="3" fillId="5" borderId="100" xfId="0" applyNumberFormat="1" applyFont="1" applyFill="1" applyBorder="1"/>
    <xf numFmtId="168" fontId="3" fillId="5" borderId="92" xfId="0" applyNumberFormat="1" applyFont="1" applyFill="1" applyBorder="1"/>
    <xf numFmtId="168" fontId="3" fillId="5" borderId="54" xfId="0" applyNumberFormat="1" applyFont="1" applyFill="1" applyBorder="1"/>
    <xf numFmtId="0" fontId="43" fillId="0" borderId="0" xfId="24" applyNumberFormat="1" applyFont="1" applyAlignment="1">
      <alignment vertical="center"/>
    </xf>
    <xf numFmtId="0" fontId="41" fillId="0" borderId="0" xfId="24" applyNumberFormat="1" applyAlignment="1" applyProtection="1">
      <alignment vertical="center"/>
      <protection locked="0"/>
    </xf>
    <xf numFmtId="0" fontId="28" fillId="0" borderId="101" xfId="0" applyFont="1" applyBorder="1" applyAlignment="1">
      <alignment horizontal="left" vertical="center" wrapText="1"/>
    </xf>
    <xf numFmtId="0" fontId="51" fillId="0" borderId="16" xfId="0" applyFont="1" applyBorder="1" applyAlignment="1">
      <alignment horizontal="center" vertical="center" wrapText="1"/>
    </xf>
    <xf numFmtId="0" fontId="51" fillId="0" borderId="102" xfId="0" applyFont="1" applyBorder="1" applyAlignment="1">
      <alignment horizontal="center" vertical="center" wrapText="1"/>
    </xf>
    <xf numFmtId="0" fontId="57" fillId="0" borderId="21" xfId="0" applyFont="1" applyBorder="1" applyAlignment="1">
      <alignment horizontal="center" vertical="center" wrapText="1"/>
    </xf>
    <xf numFmtId="0" fontId="57" fillId="0" borderId="103" xfId="0" applyFont="1" applyBorder="1" applyAlignment="1">
      <alignment horizontal="center" vertical="center" wrapText="1"/>
    </xf>
    <xf numFmtId="0" fontId="58" fillId="0" borderId="0" xfId="0" applyFont="1"/>
    <xf numFmtId="0" fontId="16" fillId="0" borderId="8" xfId="33" applyFont="1" applyBorder="1" applyAlignment="1">
      <alignment horizontal="centerContinuous" vertical="center" wrapText="1"/>
    </xf>
    <xf numFmtId="0" fontId="3" fillId="0" borderId="9" xfId="33" applyFont="1" applyBorder="1" applyAlignment="1">
      <alignment horizontal="centerContinuous" vertical="center" wrapText="1"/>
    </xf>
    <xf numFmtId="2" fontId="14" fillId="0" borderId="104" xfId="0" applyNumberFormat="1" applyFont="1" applyBorder="1" applyAlignment="1">
      <alignment horizontal="center" vertical="center" wrapText="1"/>
    </xf>
    <xf numFmtId="164" fontId="9" fillId="0" borderId="0" xfId="24" applyFont="1" applyAlignment="1">
      <alignment horizontal="left" vertical="center" wrapText="1"/>
    </xf>
    <xf numFmtId="167" fontId="41" fillId="0" borderId="0" xfId="24" applyNumberFormat="1" applyAlignment="1">
      <alignment vertical="center"/>
    </xf>
    <xf numFmtId="164" fontId="60" fillId="0" borderId="0" xfId="24" applyFont="1" applyAlignment="1">
      <alignment horizontal="center" vertical="center" wrapText="1"/>
    </xf>
    <xf numFmtId="0" fontId="60" fillId="0" borderId="0" xfId="24" applyNumberFormat="1" applyFont="1" applyAlignment="1">
      <alignment horizontal="center" vertical="center" wrapText="1"/>
    </xf>
    <xf numFmtId="49" fontId="62" fillId="0" borderId="71" xfId="1" applyNumberFormat="1" applyFont="1" applyBorder="1" applyAlignment="1" applyProtection="1">
      <alignment horizontal="left" vertical="center"/>
      <protection locked="0"/>
    </xf>
    <xf numFmtId="0" fontId="41" fillId="0" borderId="0" xfId="24" applyNumberFormat="1" applyAlignment="1">
      <alignment vertical="center"/>
    </xf>
    <xf numFmtId="0" fontId="14" fillId="0" borderId="105" xfId="0" applyFont="1" applyBorder="1" applyAlignment="1">
      <alignment horizontal="left"/>
    </xf>
    <xf numFmtId="3" fontId="3" fillId="5" borderId="106" xfId="0" applyNumberFormat="1" applyFont="1" applyFill="1" applyBorder="1" applyAlignment="1">
      <alignment horizontal="center"/>
    </xf>
    <xf numFmtId="0" fontId="13" fillId="0" borderId="107" xfId="0" applyFont="1" applyBorder="1" applyAlignment="1">
      <alignment horizontal="center"/>
    </xf>
    <xf numFmtId="3" fontId="13" fillId="0" borderId="108" xfId="0" applyNumberFormat="1" applyFont="1" applyBorder="1" applyAlignment="1">
      <alignment horizontal="center"/>
    </xf>
    <xf numFmtId="172" fontId="3" fillId="5" borderId="99" xfId="0" applyNumberFormat="1" applyFont="1" applyFill="1" applyBorder="1"/>
    <xf numFmtId="0" fontId="10" fillId="0" borderId="105" xfId="0" applyFont="1" applyBorder="1" applyAlignment="1">
      <alignment horizontal="center" vertical="center" wrapText="1"/>
    </xf>
    <xf numFmtId="0" fontId="10" fillId="0" borderId="106" xfId="0" applyFont="1" applyBorder="1" applyAlignment="1">
      <alignment horizontal="center" vertical="center" wrapText="1"/>
    </xf>
    <xf numFmtId="0" fontId="10" fillId="0" borderId="109" xfId="0" applyFont="1" applyBorder="1" applyAlignment="1">
      <alignment horizontal="center" vertical="center" wrapText="1"/>
    </xf>
    <xf numFmtId="164" fontId="24" fillId="0" borderId="0" xfId="24" applyFont="1" applyAlignment="1">
      <alignment vertical="top"/>
    </xf>
    <xf numFmtId="168" fontId="3" fillId="0" borderId="110" xfId="28" applyNumberFormat="1" applyFont="1" applyBorder="1"/>
    <xf numFmtId="3" fontId="3" fillId="0" borderId="44" xfId="28" applyNumberFormat="1" applyFont="1" applyBorder="1" applyProtection="1">
      <protection locked="0"/>
    </xf>
    <xf numFmtId="168" fontId="3" fillId="0" borderId="18" xfId="28" applyNumberFormat="1" applyFont="1" applyBorder="1"/>
    <xf numFmtId="3" fontId="3" fillId="0" borderId="72" xfId="28" applyNumberFormat="1" applyFont="1" applyBorder="1" applyProtection="1">
      <protection locked="0"/>
    </xf>
    <xf numFmtId="3" fontId="3" fillId="0" borderId="52" xfId="28" applyNumberFormat="1" applyFont="1" applyBorder="1" applyProtection="1">
      <protection locked="0"/>
    </xf>
    <xf numFmtId="3" fontId="3" fillId="0" borderId="111" xfId="32" applyNumberFormat="1" applyFont="1" applyBorder="1" applyProtection="1">
      <protection locked="0"/>
    </xf>
    <xf numFmtId="3" fontId="3" fillId="0" borderId="64" xfId="32" applyNumberFormat="1" applyFont="1" applyBorder="1" applyProtection="1">
      <protection locked="0"/>
    </xf>
    <xf numFmtId="168" fontId="3" fillId="5" borderId="110" xfId="32" applyNumberFormat="1" applyFont="1" applyFill="1" applyBorder="1"/>
    <xf numFmtId="168" fontId="3" fillId="5" borderId="112" xfId="32" applyNumberFormat="1" applyFont="1" applyFill="1" applyBorder="1"/>
    <xf numFmtId="0" fontId="16" fillId="0" borderId="113" xfId="32" applyFont="1" applyBorder="1" applyAlignment="1">
      <alignment horizontal="centerContinuous" vertical="center" wrapText="1"/>
    </xf>
    <xf numFmtId="0" fontId="3" fillId="0" borderId="114" xfId="32" applyFont="1" applyBorder="1" applyAlignment="1">
      <alignment horizontal="centerContinuous" vertical="center" wrapText="1"/>
    </xf>
    <xf numFmtId="168" fontId="3" fillId="5" borderId="115" xfId="32" applyNumberFormat="1" applyFont="1" applyFill="1" applyBorder="1"/>
    <xf numFmtId="0" fontId="18" fillId="0" borderId="116" xfId="32" applyFont="1" applyBorder="1" applyAlignment="1">
      <alignment horizontal="centerContinuous" vertical="center" wrapText="1"/>
    </xf>
    <xf numFmtId="0" fontId="18" fillId="0" borderId="117" xfId="32" applyFont="1" applyBorder="1" applyAlignment="1">
      <alignment horizontal="centerContinuous" vertical="center" wrapText="1"/>
    </xf>
    <xf numFmtId="168" fontId="3" fillId="5" borderId="118" xfId="32" applyNumberFormat="1" applyFont="1" applyFill="1" applyBorder="1"/>
    <xf numFmtId="168" fontId="0" fillId="0" borderId="119" xfId="0" applyNumberFormat="1" applyBorder="1"/>
    <xf numFmtId="168" fontId="3" fillId="0" borderId="94" xfId="28" applyNumberFormat="1" applyFont="1" applyBorder="1"/>
    <xf numFmtId="168" fontId="14" fillId="5" borderId="99" xfId="29" applyNumberFormat="1" applyFont="1" applyFill="1" applyBorder="1"/>
    <xf numFmtId="168" fontId="3" fillId="5" borderId="67" xfId="33" applyNumberFormat="1" applyFont="1" applyFill="1" applyBorder="1"/>
    <xf numFmtId="0" fontId="39" fillId="0" borderId="79" xfId="33" applyFont="1" applyBorder="1" applyAlignment="1">
      <alignment horizontal="center"/>
    </xf>
    <xf numFmtId="168" fontId="3" fillId="5" borderId="63" xfId="33" applyNumberFormat="1" applyFont="1" applyFill="1" applyBorder="1"/>
    <xf numFmtId="164" fontId="9" fillId="0" borderId="0" xfId="24" applyFont="1" applyAlignment="1" applyProtection="1">
      <alignment vertical="center"/>
      <protection locked="0"/>
    </xf>
    <xf numFmtId="164" fontId="24" fillId="5" borderId="0" xfId="24" applyFont="1" applyFill="1" applyAlignment="1">
      <alignment vertical="center"/>
    </xf>
    <xf numFmtId="0" fontId="0" fillId="5" borderId="0" xfId="0" applyFill="1"/>
    <xf numFmtId="164" fontId="63" fillId="5" borderId="0" xfId="24" applyFont="1" applyFill="1" applyAlignment="1">
      <alignment vertical="center"/>
    </xf>
    <xf numFmtId="164" fontId="9" fillId="0" borderId="0" xfId="24" applyFont="1" applyAlignment="1">
      <alignment vertical="center"/>
    </xf>
    <xf numFmtId="164" fontId="41" fillId="0" borderId="0" xfId="24" applyAlignment="1" applyProtection="1">
      <alignment vertical="center"/>
      <protection locked="0"/>
    </xf>
    <xf numFmtId="49" fontId="24" fillId="5" borderId="13" xfId="20" applyNumberFormat="1" applyFont="1" applyFill="1" applyBorder="1" applyAlignment="1" applyProtection="1">
      <alignment horizontal="left" vertical="center"/>
      <protection locked="0"/>
    </xf>
    <xf numFmtId="49" fontId="24" fillId="5" borderId="0" xfId="20" applyNumberFormat="1" applyFont="1" applyFill="1" applyAlignment="1" applyProtection="1">
      <alignment horizontal="left" vertical="center"/>
      <protection locked="0"/>
    </xf>
    <xf numFmtId="0" fontId="66" fillId="5" borderId="0" xfId="0" applyFont="1" applyFill="1" applyAlignment="1">
      <alignment horizontal="center"/>
    </xf>
    <xf numFmtId="0" fontId="67" fillId="5" borderId="0" xfId="0" applyFont="1" applyFill="1" applyAlignment="1">
      <alignment horizontal="center"/>
    </xf>
    <xf numFmtId="167" fontId="0" fillId="5" borderId="0" xfId="0" applyNumberFormat="1" applyFill="1"/>
    <xf numFmtId="0" fontId="68" fillId="5" borderId="0" xfId="0" applyFont="1" applyFill="1"/>
    <xf numFmtId="0" fontId="69" fillId="5" borderId="0" xfId="0" applyFont="1" applyFill="1" applyAlignment="1">
      <alignment horizontal="right"/>
    </xf>
    <xf numFmtId="0" fontId="64" fillId="5" borderId="0" xfId="0" applyFont="1" applyFill="1"/>
    <xf numFmtId="0" fontId="28" fillId="5" borderId="25" xfId="0" applyFont="1" applyFill="1" applyBorder="1" applyAlignment="1">
      <alignment horizontal="center" wrapText="1"/>
    </xf>
    <xf numFmtId="0" fontId="28" fillId="5" borderId="25" xfId="0" applyFont="1" applyFill="1" applyBorder="1" applyAlignment="1">
      <alignment horizontal="center"/>
    </xf>
    <xf numFmtId="0" fontId="28" fillId="5" borderId="67" xfId="0" applyFont="1" applyFill="1" applyBorder="1" applyAlignment="1">
      <alignment horizontal="center" wrapText="1"/>
    </xf>
    <xf numFmtId="0" fontId="28" fillId="5" borderId="63" xfId="0" applyFont="1" applyFill="1" applyBorder="1" applyAlignment="1">
      <alignment horizontal="center"/>
    </xf>
    <xf numFmtId="0" fontId="19" fillId="5" borderId="48" xfId="0" applyFont="1" applyFill="1" applyBorder="1" applyAlignment="1">
      <alignment horizontal="left"/>
    </xf>
    <xf numFmtId="0" fontId="28" fillId="5" borderId="44" xfId="0" applyFont="1" applyFill="1" applyBorder="1" applyAlignment="1">
      <alignment horizontal="right"/>
    </xf>
    <xf numFmtId="164" fontId="22" fillId="0" borderId="0" xfId="24" applyFont="1" applyAlignment="1">
      <alignment horizontal="center" vertical="center"/>
    </xf>
    <xf numFmtId="3" fontId="0" fillId="0" borderId="97" xfId="0" applyNumberFormat="1" applyBorder="1" applyProtection="1">
      <protection locked="0"/>
    </xf>
    <xf numFmtId="3" fontId="0" fillId="0" borderId="55" xfId="0" applyNumberFormat="1" applyBorder="1" applyProtection="1">
      <protection locked="0"/>
    </xf>
    <xf numFmtId="0" fontId="22" fillId="5" borderId="0" xfId="0" applyFont="1" applyFill="1" applyAlignment="1">
      <alignment horizontal="center" vertical="top"/>
    </xf>
    <xf numFmtId="167" fontId="24" fillId="0" borderId="0" xfId="24" applyNumberFormat="1" applyFont="1" applyAlignment="1">
      <alignment vertical="center"/>
    </xf>
    <xf numFmtId="1" fontId="0" fillId="5" borderId="0" xfId="0" applyNumberFormat="1" applyFill="1"/>
    <xf numFmtId="1" fontId="24" fillId="7" borderId="25" xfId="24" applyNumberFormat="1" applyFont="1" applyFill="1" applyBorder="1" applyAlignment="1" applyProtection="1">
      <alignment vertical="center"/>
      <protection locked="0"/>
    </xf>
    <xf numFmtId="3" fontId="19" fillId="5" borderId="25" xfId="0" applyNumberFormat="1" applyFont="1" applyFill="1" applyBorder="1" applyAlignment="1" applyProtection="1">
      <alignment wrapText="1"/>
      <protection locked="0"/>
    </xf>
    <xf numFmtId="3" fontId="19" fillId="5" borderId="25" xfId="0" applyNumberFormat="1" applyFont="1" applyFill="1" applyBorder="1" applyProtection="1">
      <protection locked="0"/>
    </xf>
    <xf numFmtId="3" fontId="19" fillId="5" borderId="67" xfId="0" applyNumberFormat="1" applyFont="1" applyFill="1" applyBorder="1" applyProtection="1">
      <protection locked="0"/>
    </xf>
    <xf numFmtId="3" fontId="19" fillId="5" borderId="63" xfId="0" applyNumberFormat="1" applyFont="1" applyFill="1" applyBorder="1" applyProtection="1">
      <protection locked="0"/>
    </xf>
    <xf numFmtId="3" fontId="19" fillId="5" borderId="67" xfId="0" applyNumberFormat="1" applyFont="1" applyFill="1" applyBorder="1" applyAlignment="1" applyProtection="1">
      <alignment horizontal="right"/>
      <protection locked="0"/>
    </xf>
    <xf numFmtId="168" fontId="19" fillId="5" borderId="52" xfId="0" applyNumberFormat="1" applyFont="1" applyFill="1" applyBorder="1" applyAlignment="1">
      <alignment horizontal="right"/>
    </xf>
    <xf numFmtId="168" fontId="19" fillId="5" borderId="37" xfId="0" applyNumberFormat="1" applyFont="1" applyFill="1" applyBorder="1" applyAlignment="1">
      <alignment horizontal="right"/>
    </xf>
    <xf numFmtId="168" fontId="19" fillId="5" borderId="35" xfId="0" applyNumberFormat="1" applyFont="1" applyFill="1" applyBorder="1" applyAlignment="1">
      <alignment horizontal="right"/>
    </xf>
    <xf numFmtId="3" fontId="3" fillId="0" borderId="65" xfId="29" applyNumberFormat="1" applyFont="1" applyBorder="1" applyProtection="1">
      <protection locked="0"/>
    </xf>
    <xf numFmtId="3" fontId="0" fillId="0" borderId="72" xfId="0" applyNumberFormat="1" applyBorder="1" applyProtection="1">
      <protection locked="0"/>
    </xf>
    <xf numFmtId="3" fontId="3" fillId="0" borderId="35" xfId="29" applyNumberFormat="1" applyFont="1" applyBorder="1" applyProtection="1">
      <protection locked="0"/>
    </xf>
    <xf numFmtId="3" fontId="0" fillId="0" borderId="67" xfId="0" applyNumberFormat="1" applyBorder="1" applyProtection="1">
      <protection locked="0"/>
    </xf>
    <xf numFmtId="168" fontId="0" fillId="0" borderId="92" xfId="0" applyNumberFormat="1" applyBorder="1"/>
    <xf numFmtId="0" fontId="28" fillId="0" borderId="0" xfId="0" applyFont="1" applyAlignment="1">
      <alignment horizontal="left" vertical="center" wrapText="1"/>
    </xf>
    <xf numFmtId="0" fontId="6" fillId="0" borderId="25" xfId="0" applyFont="1" applyBorder="1" applyAlignment="1">
      <alignment horizontal="center" vertical="center"/>
    </xf>
    <xf numFmtId="0" fontId="6" fillId="0" borderId="25" xfId="0" applyFont="1" applyBorder="1" applyAlignment="1">
      <alignment horizontal="center" vertical="center" wrapText="1"/>
    </xf>
    <xf numFmtId="0" fontId="3" fillId="0" borderId="25" xfId="0" applyFont="1" applyBorder="1" applyAlignment="1">
      <alignment horizontal="center" vertical="center" wrapText="1"/>
    </xf>
    <xf numFmtId="0" fontId="25" fillId="0" borderId="25" xfId="0" applyFont="1" applyBorder="1" applyAlignment="1">
      <alignment horizontal="center" vertical="center" wrapText="1"/>
    </xf>
    <xf numFmtId="0" fontId="21" fillId="0" borderId="25" xfId="0" applyFont="1" applyBorder="1" applyAlignment="1">
      <alignment horizontal="center" vertical="center" wrapText="1"/>
    </xf>
    <xf numFmtId="0" fontId="77" fillId="0" borderId="25" xfId="0" applyFont="1" applyBorder="1" applyAlignment="1">
      <alignment horizontal="center" vertical="center" wrapText="1"/>
    </xf>
    <xf numFmtId="171" fontId="3" fillId="0" borderId="25" xfId="0" applyNumberFormat="1" applyFont="1" applyBorder="1" applyAlignment="1">
      <alignment horizontal="center"/>
    </xf>
    <xf numFmtId="171" fontId="3" fillId="0" borderId="25" xfId="5" applyNumberFormat="1" applyFont="1" applyBorder="1" applyAlignment="1"/>
    <xf numFmtId="170" fontId="3" fillId="0" borderId="25" xfId="0" applyNumberFormat="1" applyFont="1" applyBorder="1"/>
    <xf numFmtId="170" fontId="6" fillId="0" borderId="25" xfId="0" applyNumberFormat="1" applyFont="1" applyBorder="1"/>
    <xf numFmtId="170" fontId="78" fillId="0" borderId="25" xfId="0" applyNumberFormat="1" applyFont="1" applyBorder="1"/>
    <xf numFmtId="0" fontId="18" fillId="0" borderId="122" xfId="33" applyFont="1" applyBorder="1" applyAlignment="1">
      <alignment horizontal="centerContinuous" vertical="center"/>
    </xf>
    <xf numFmtId="3" fontId="3" fillId="0" borderId="40" xfId="33" applyNumberFormat="1" applyFont="1" applyBorder="1" applyProtection="1">
      <protection locked="0"/>
    </xf>
    <xf numFmtId="3" fontId="3" fillId="0" borderId="123" xfId="33" applyNumberFormat="1" applyFont="1" applyBorder="1" applyProtection="1">
      <protection locked="0"/>
    </xf>
    <xf numFmtId="168" fontId="3" fillId="5" borderId="110" xfId="33" applyNumberFormat="1" applyFont="1" applyFill="1" applyBorder="1"/>
    <xf numFmtId="0" fontId="18" fillId="0" borderId="124" xfId="33" applyFont="1" applyBorder="1" applyAlignment="1">
      <alignment horizontal="centerContinuous" vertical="center"/>
    </xf>
    <xf numFmtId="0" fontId="39" fillId="0" borderId="22" xfId="33" applyFont="1" applyBorder="1" applyAlignment="1">
      <alignment horizontal="center"/>
    </xf>
    <xf numFmtId="3" fontId="3" fillId="0" borderId="125" xfId="33" applyNumberFormat="1" applyFont="1" applyBorder="1" applyProtection="1">
      <protection locked="0"/>
    </xf>
    <xf numFmtId="3" fontId="3" fillId="0" borderId="98" xfId="33" applyNumberFormat="1" applyFont="1" applyBorder="1" applyProtection="1">
      <protection locked="0"/>
    </xf>
    <xf numFmtId="168" fontId="3" fillId="5" borderId="126" xfId="33" applyNumberFormat="1" applyFont="1" applyFill="1" applyBorder="1"/>
    <xf numFmtId="3" fontId="3" fillId="0" borderId="127" xfId="33" applyNumberFormat="1" applyFont="1" applyBorder="1" applyProtection="1">
      <protection locked="0"/>
    </xf>
    <xf numFmtId="0" fontId="39" fillId="0" borderId="128" xfId="33" applyFont="1" applyBorder="1" applyAlignment="1">
      <alignment horizontal="center"/>
    </xf>
    <xf numFmtId="168" fontId="3" fillId="5" borderId="115" xfId="33" applyNumberFormat="1" applyFont="1" applyFill="1" applyBorder="1"/>
    <xf numFmtId="168" fontId="3" fillId="5" borderId="129" xfId="33" applyNumberFormat="1" applyFont="1" applyFill="1" applyBorder="1"/>
    <xf numFmtId="0" fontId="10" fillId="0" borderId="12" xfId="28" applyFont="1" applyBorder="1" applyAlignment="1">
      <alignment horizontal="center" vertical="center"/>
    </xf>
    <xf numFmtId="0" fontId="10" fillId="0" borderId="12" xfId="29" applyFont="1" applyBorder="1" applyAlignment="1">
      <alignment horizontal="center" vertical="center"/>
    </xf>
    <xf numFmtId="0" fontId="20" fillId="0" borderId="69" xfId="28" applyFont="1" applyBorder="1" applyAlignment="1">
      <alignment horizontal="center"/>
    </xf>
    <xf numFmtId="0" fontId="20" fillId="0" borderId="130" xfId="28" applyFont="1" applyBorder="1" applyAlignment="1">
      <alignment horizontal="center"/>
    </xf>
    <xf numFmtId="0" fontId="20" fillId="0" borderId="131" xfId="28" applyFont="1" applyBorder="1" applyAlignment="1">
      <alignment horizontal="center"/>
    </xf>
    <xf numFmtId="0" fontId="20" fillId="0" borderId="69" xfId="29" applyFont="1" applyBorder="1" applyAlignment="1">
      <alignment horizontal="center"/>
    </xf>
    <xf numFmtId="0" fontId="20" fillId="0" borderId="130" xfId="29" applyFont="1" applyBorder="1" applyAlignment="1">
      <alignment horizontal="center"/>
    </xf>
    <xf numFmtId="0" fontId="20" fillId="0" borderId="131" xfId="29" applyFont="1" applyBorder="1" applyAlignment="1">
      <alignment horizontal="center"/>
    </xf>
    <xf numFmtId="0" fontId="0" fillId="0" borderId="0" xfId="0" applyAlignment="1">
      <alignment vertical="top"/>
    </xf>
    <xf numFmtId="164" fontId="9" fillId="0" borderId="0" xfId="24" applyFont="1" applyAlignment="1">
      <alignment vertical="center" wrapText="1"/>
    </xf>
    <xf numFmtId="0" fontId="18" fillId="0" borderId="102" xfId="0" applyFont="1" applyBorder="1" applyAlignment="1">
      <alignment horizontal="center" vertical="center" wrapText="1"/>
    </xf>
    <xf numFmtId="49" fontId="15" fillId="7" borderId="48" xfId="24" applyNumberFormat="1" applyFont="1" applyFill="1" applyBorder="1" applyAlignment="1" applyProtection="1">
      <alignment horizontal="left" vertical="center"/>
      <protection locked="0"/>
    </xf>
    <xf numFmtId="49" fontId="15" fillId="7" borderId="25" xfId="24" applyNumberFormat="1" applyFont="1" applyFill="1" applyBorder="1" applyAlignment="1" applyProtection="1">
      <alignment horizontal="left" vertical="center"/>
      <protection locked="0"/>
    </xf>
    <xf numFmtId="49" fontId="15" fillId="7" borderId="37" xfId="20" applyNumberFormat="1" applyFont="1" applyFill="1" applyBorder="1" applyAlignment="1" applyProtection="1">
      <alignment horizontal="left" vertical="center"/>
      <protection locked="0"/>
    </xf>
    <xf numFmtId="49" fontId="15" fillId="7" borderId="48" xfId="0" applyNumberFormat="1" applyFont="1" applyFill="1" applyBorder="1" applyAlignment="1" applyProtection="1">
      <alignment horizontal="left" vertical="center"/>
      <protection locked="0"/>
    </xf>
    <xf numFmtId="49" fontId="15" fillId="7" borderId="25" xfId="20" applyNumberFormat="1" applyFont="1" applyFill="1" applyBorder="1" applyAlignment="1" applyProtection="1">
      <alignment horizontal="left" vertical="center"/>
      <protection locked="0"/>
    </xf>
    <xf numFmtId="49" fontId="8" fillId="7" borderId="71" xfId="1" applyNumberFormat="1" applyFill="1" applyBorder="1" applyAlignment="1" applyProtection="1">
      <alignment horizontal="left" vertical="center"/>
      <protection locked="0"/>
    </xf>
    <xf numFmtId="49" fontId="15" fillId="7" borderId="25" xfId="0" applyNumberFormat="1" applyFont="1" applyFill="1" applyBorder="1" applyAlignment="1" applyProtection="1">
      <alignment horizontal="left"/>
      <protection locked="0"/>
    </xf>
    <xf numFmtId="0" fontId="3" fillId="0" borderId="93" xfId="33" applyFont="1" applyBorder="1" applyAlignment="1">
      <alignment horizontal="center"/>
    </xf>
    <xf numFmtId="0" fontId="11" fillId="0" borderId="25" xfId="0" applyFont="1" applyBorder="1" applyAlignment="1">
      <alignment horizontal="center" vertical="center" wrapText="1"/>
    </xf>
    <xf numFmtId="0" fontId="3" fillId="0" borderId="132" xfId="0" applyFont="1" applyBorder="1" applyAlignment="1">
      <alignment horizontal="centerContinuous" vertical="center" wrapText="1"/>
    </xf>
    <xf numFmtId="0" fontId="36" fillId="0" borderId="25" xfId="0" applyFont="1" applyBorder="1"/>
    <xf numFmtId="0" fontId="103" fillId="0" borderId="25" xfId="0" applyFont="1" applyBorder="1"/>
    <xf numFmtId="0" fontId="25" fillId="0" borderId="36" xfId="0" applyFont="1" applyBorder="1"/>
    <xf numFmtId="0" fontId="10" fillId="0" borderId="82" xfId="0" applyFont="1" applyBorder="1" applyAlignment="1">
      <alignment horizontal="center" vertical="center" wrapText="1"/>
    </xf>
    <xf numFmtId="0" fontId="10" fillId="0" borderId="133" xfId="0" applyFont="1" applyBorder="1" applyAlignment="1">
      <alignment horizontal="center" vertical="center" wrapText="1"/>
    </xf>
    <xf numFmtId="0" fontId="10" fillId="0" borderId="134" xfId="0" applyFont="1" applyBorder="1" applyAlignment="1">
      <alignment horizontal="center" vertical="center" wrapText="1"/>
    </xf>
    <xf numFmtId="0" fontId="10" fillId="0" borderId="135" xfId="0" applyFont="1" applyBorder="1" applyAlignment="1">
      <alignment horizontal="center" vertical="center" wrapText="1"/>
    </xf>
    <xf numFmtId="0" fontId="25" fillId="0" borderId="136" xfId="0" applyFont="1" applyBorder="1"/>
    <xf numFmtId="0" fontId="3" fillId="0" borderId="42" xfId="0" applyFont="1" applyBorder="1" applyAlignment="1">
      <alignment horizontal="center"/>
    </xf>
    <xf numFmtId="0" fontId="3" fillId="0" borderId="29" xfId="0" applyFont="1" applyBorder="1" applyAlignment="1">
      <alignment horizontal="justify" wrapText="1"/>
    </xf>
    <xf numFmtId="0" fontId="3" fillId="0" borderId="36" xfId="0" applyFont="1" applyBorder="1" applyAlignment="1">
      <alignment horizontal="justify" wrapText="1"/>
    </xf>
    <xf numFmtId="0" fontId="3" fillId="0" borderId="45" xfId="0" applyFont="1" applyBorder="1" applyAlignment="1">
      <alignment horizontal="justify" wrapText="1"/>
    </xf>
    <xf numFmtId="164" fontId="23" fillId="0" borderId="0" xfId="24" applyFont="1" applyAlignment="1">
      <alignment vertical="center" wrapText="1"/>
    </xf>
    <xf numFmtId="164" fontId="23" fillId="0" borderId="120" xfId="24" applyFont="1" applyBorder="1" applyAlignment="1">
      <alignment vertical="center" wrapText="1"/>
    </xf>
    <xf numFmtId="0" fontId="9" fillId="0" borderId="0" xfId="22" applyFont="1" applyAlignment="1">
      <alignment vertical="center"/>
    </xf>
    <xf numFmtId="164" fontId="9" fillId="0" borderId="0" xfId="24" applyFont="1" applyAlignment="1">
      <alignment horizontal="right" vertical="center"/>
    </xf>
    <xf numFmtId="164" fontId="74" fillId="0" borderId="0" xfId="24" applyFont="1" applyAlignment="1">
      <alignment horizontal="left" vertical="center"/>
    </xf>
    <xf numFmtId="164" fontId="74" fillId="0" borderId="0" xfId="24" applyFont="1" applyAlignment="1">
      <alignment horizontal="right" vertical="center"/>
    </xf>
    <xf numFmtId="164" fontId="74" fillId="0" borderId="0" xfId="24" applyFont="1" applyAlignment="1">
      <alignment vertical="center"/>
    </xf>
    <xf numFmtId="1" fontId="15" fillId="6" borderId="25" xfId="24" applyNumberFormat="1" applyFont="1" applyFill="1" applyBorder="1" applyAlignment="1">
      <alignment vertical="center"/>
    </xf>
    <xf numFmtId="164" fontId="61" fillId="0" borderId="64" xfId="24" applyFont="1" applyBorder="1" applyAlignment="1">
      <alignment vertical="center" wrapText="1"/>
    </xf>
    <xf numFmtId="164" fontId="83" fillId="0" borderId="64" xfId="24" applyFont="1" applyBorder="1" applyAlignment="1">
      <alignment vertical="center" wrapText="1"/>
    </xf>
    <xf numFmtId="0" fontId="10" fillId="0" borderId="46" xfId="0" applyFont="1" applyBorder="1" applyAlignment="1">
      <alignment horizontal="center" vertical="center" wrapText="1"/>
    </xf>
    <xf numFmtId="0" fontId="6" fillId="0" borderId="56" xfId="0" applyFont="1" applyBorder="1" applyAlignment="1">
      <alignment horizontal="center" wrapText="1"/>
    </xf>
    <xf numFmtId="0" fontId="6" fillId="0" borderId="91" xfId="0" applyFont="1" applyBorder="1" applyAlignment="1">
      <alignment horizontal="center" wrapText="1"/>
    </xf>
    <xf numFmtId="0" fontId="6" fillId="0" borderId="137" xfId="0" applyFont="1" applyBorder="1" applyAlignment="1">
      <alignment horizontal="center" wrapText="1"/>
    </xf>
    <xf numFmtId="164" fontId="83" fillId="0" borderId="122" xfId="24" applyFont="1" applyBorder="1" applyAlignment="1">
      <alignment vertical="center" wrapText="1"/>
    </xf>
    <xf numFmtId="3" fontId="19" fillId="5" borderId="67" xfId="0" applyNumberFormat="1" applyFont="1" applyFill="1" applyBorder="1" applyAlignment="1" applyProtection="1">
      <alignment wrapText="1"/>
      <protection locked="0"/>
    </xf>
    <xf numFmtId="3" fontId="14" fillId="0" borderId="72" xfId="29" applyNumberFormat="1" applyFont="1" applyBorder="1" applyProtection="1">
      <protection locked="0"/>
    </xf>
    <xf numFmtId="3" fontId="14" fillId="0" borderId="65" xfId="29" applyNumberFormat="1" applyFont="1" applyBorder="1" applyProtection="1">
      <protection locked="0"/>
    </xf>
    <xf numFmtId="3" fontId="14" fillId="0" borderId="111" xfId="29" applyNumberFormat="1" applyFont="1" applyBorder="1" applyProtection="1">
      <protection locked="0"/>
    </xf>
    <xf numFmtId="3" fontId="14" fillId="0" borderId="86" xfId="29" applyNumberFormat="1" applyFont="1" applyBorder="1" applyProtection="1">
      <protection locked="0"/>
    </xf>
    <xf numFmtId="3" fontId="14" fillId="0" borderId="67" xfId="29" applyNumberFormat="1" applyFont="1" applyBorder="1" applyProtection="1">
      <protection locked="0"/>
    </xf>
    <xf numFmtId="3" fontId="14" fillId="0" borderId="63" xfId="29" applyNumberFormat="1" applyFont="1" applyBorder="1" applyProtection="1">
      <protection locked="0"/>
    </xf>
    <xf numFmtId="3" fontId="14" fillId="0" borderId="123" xfId="29" applyNumberFormat="1" applyFont="1" applyBorder="1" applyProtection="1">
      <protection locked="0"/>
    </xf>
    <xf numFmtId="3" fontId="14" fillId="0" borderId="71" xfId="29" applyNumberFormat="1" applyFont="1" applyBorder="1" applyProtection="1">
      <protection locked="0"/>
    </xf>
    <xf numFmtId="3" fontId="3" fillId="0" borderId="25" xfId="0" applyNumberFormat="1" applyFont="1" applyBorder="1" applyAlignment="1">
      <alignment horizontal="center"/>
    </xf>
    <xf numFmtId="3" fontId="3" fillId="0" borderId="42" xfId="0" applyNumberFormat="1" applyFont="1" applyBorder="1" applyAlignment="1">
      <alignment horizontal="center"/>
    </xf>
    <xf numFmtId="3" fontId="14" fillId="0" borderId="25" xfId="5" applyNumberFormat="1" applyFont="1" applyBorder="1" applyAlignment="1"/>
    <xf numFmtId="0" fontId="104" fillId="0" borderId="0" xfId="0" applyFont="1" applyAlignment="1">
      <alignment horizontal="left" vertical="top"/>
    </xf>
    <xf numFmtId="0" fontId="13" fillId="0" borderId="37" xfId="0" applyFont="1" applyBorder="1" applyAlignment="1">
      <alignment horizontal="center"/>
    </xf>
    <xf numFmtId="0" fontId="3" fillId="0" borderId="37" xfId="0" applyFont="1" applyBorder="1" applyAlignment="1">
      <alignment horizontal="left"/>
    </xf>
    <xf numFmtId="0" fontId="13" fillId="0" borderId="37" xfId="0" applyFont="1" applyBorder="1" applyAlignment="1">
      <alignment horizontal="left"/>
    </xf>
    <xf numFmtId="0" fontId="13" fillId="0" borderId="25" xfId="0" applyFont="1" applyBorder="1" applyAlignment="1">
      <alignment horizontal="left"/>
    </xf>
    <xf numFmtId="38" fontId="3" fillId="6" borderId="67" xfId="5" applyNumberFormat="1" applyFont="1" applyFill="1" applyBorder="1" applyAlignment="1" applyProtection="1">
      <alignment vertical="center"/>
    </xf>
    <xf numFmtId="38" fontId="3" fillId="6" borderId="63" xfId="5" applyNumberFormat="1" applyFont="1" applyFill="1" applyBorder="1" applyAlignment="1" applyProtection="1">
      <alignment vertical="center"/>
    </xf>
    <xf numFmtId="3" fontId="3" fillId="10" borderId="25" xfId="0" applyNumberFormat="1" applyFont="1" applyFill="1" applyBorder="1"/>
    <xf numFmtId="0" fontId="3" fillId="10" borderId="25" xfId="0" applyFont="1" applyFill="1" applyBorder="1" applyAlignment="1">
      <alignment horizontal="center"/>
    </xf>
    <xf numFmtId="0" fontId="3" fillId="0" borderId="0" xfId="20" applyFont="1" applyAlignment="1">
      <alignment vertical="center"/>
    </xf>
    <xf numFmtId="0" fontId="2" fillId="0" borderId="0" xfId="0" applyFont="1" applyAlignment="1">
      <alignment horizontal="right" vertical="top"/>
    </xf>
    <xf numFmtId="0" fontId="23" fillId="0" borderId="0" xfId="0" applyFont="1" applyAlignment="1">
      <alignment wrapText="1"/>
    </xf>
    <xf numFmtId="0" fontId="15" fillId="0" borderId="105" xfId="0" applyFont="1" applyBorder="1" applyAlignment="1">
      <alignment horizontal="left" vertical="center" wrapText="1"/>
    </xf>
    <xf numFmtId="3" fontId="3" fillId="5" borderId="106" xfId="0" applyNumberFormat="1" applyFont="1" applyFill="1" applyBorder="1" applyAlignment="1">
      <alignment horizontal="center" vertical="center"/>
    </xf>
    <xf numFmtId="0" fontId="15" fillId="0" borderId="36" xfId="0" applyFont="1" applyBorder="1" applyAlignment="1">
      <alignment horizontal="left" vertical="center" wrapText="1"/>
    </xf>
    <xf numFmtId="3" fontId="3" fillId="5" borderId="25" xfId="0" applyNumberFormat="1" applyFont="1" applyFill="1" applyBorder="1" applyAlignment="1">
      <alignment horizontal="center" vertical="center"/>
    </xf>
    <xf numFmtId="0" fontId="15" fillId="0" borderId="45" xfId="0" applyFont="1" applyBorder="1" applyAlignment="1">
      <alignment horizontal="left" vertical="center" wrapText="1"/>
    </xf>
    <xf numFmtId="3" fontId="3" fillId="5" borderId="38" xfId="0" applyNumberFormat="1" applyFont="1" applyFill="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3" fillId="0" borderId="10" xfId="0" applyFont="1" applyBorder="1" applyAlignment="1">
      <alignment horizontal="left" vertical="center" wrapText="1"/>
    </xf>
    <xf numFmtId="3" fontId="3" fillId="0" borderId="37" xfId="0" applyNumberFormat="1" applyFont="1" applyBorder="1" applyAlignment="1">
      <alignment horizontal="center" vertical="center"/>
    </xf>
    <xf numFmtId="0" fontId="3" fillId="0" borderId="45" xfId="0" applyFont="1" applyBorder="1" applyAlignment="1">
      <alignment horizontal="left" vertical="center" wrapText="1"/>
    </xf>
    <xf numFmtId="3" fontId="3" fillId="0" borderId="38" xfId="0" applyNumberFormat="1" applyFont="1" applyBorder="1" applyAlignment="1">
      <alignment horizontal="center" vertical="center"/>
    </xf>
    <xf numFmtId="164" fontId="5" fillId="0" borderId="0" xfId="24" applyFont="1" applyAlignment="1">
      <alignment vertical="center"/>
    </xf>
    <xf numFmtId="164" fontId="15" fillId="0" borderId="0" xfId="24" applyFont="1" applyAlignment="1">
      <alignment vertical="center"/>
    </xf>
    <xf numFmtId="164" fontId="3" fillId="0" borderId="64" xfId="24" applyFont="1" applyBorder="1" applyAlignment="1">
      <alignment vertical="center"/>
    </xf>
    <xf numFmtId="49" fontId="15" fillId="0" borderId="25" xfId="24" applyNumberFormat="1" applyFont="1" applyBorder="1" applyAlignment="1" applyProtection="1">
      <alignment horizontal="left" vertical="center"/>
      <protection locked="0"/>
    </xf>
    <xf numFmtId="49" fontId="8" fillId="0" borderId="71" xfId="1" applyNumberFormat="1" applyFill="1" applyBorder="1" applyAlignment="1" applyProtection="1">
      <alignment horizontal="left" vertical="center"/>
      <protection locked="0"/>
    </xf>
    <xf numFmtId="49" fontId="15" fillId="0" borderId="25" xfId="0" applyNumberFormat="1" applyFont="1" applyBorder="1" applyAlignment="1" applyProtection="1">
      <alignment horizontal="left"/>
      <protection locked="0"/>
    </xf>
    <xf numFmtId="164" fontId="15" fillId="0" borderId="0" xfId="24" applyFont="1" applyAlignment="1">
      <alignment horizontal="left" vertical="center"/>
    </xf>
    <xf numFmtId="0" fontId="25" fillId="0" borderId="0" xfId="0" applyFont="1"/>
    <xf numFmtId="3" fontId="15" fillId="0" borderId="25" xfId="0" applyNumberFormat="1" applyFont="1" applyBorder="1" applyAlignment="1">
      <alignment vertical="center"/>
    </xf>
    <xf numFmtId="4" fontId="3" fillId="0" borderId="36" xfId="0" applyNumberFormat="1" applyFont="1" applyBorder="1" applyAlignment="1">
      <alignment horizontal="justify"/>
    </xf>
    <xf numFmtId="3" fontId="15" fillId="0" borderId="25" xfId="0" applyNumberFormat="1" applyFont="1" applyBorder="1" applyAlignment="1">
      <alignment horizontal="right" vertical="center"/>
    </xf>
    <xf numFmtId="0" fontId="3" fillId="0" borderId="36" xfId="0" applyFont="1" applyBorder="1" applyAlignment="1">
      <alignment horizontal="justify"/>
    </xf>
    <xf numFmtId="3" fontId="15" fillId="0" borderId="38" xfId="0" applyNumberFormat="1" applyFont="1" applyBorder="1" applyAlignment="1">
      <alignment vertical="center"/>
    </xf>
    <xf numFmtId="0" fontId="23" fillId="0" borderId="58" xfId="0" applyFont="1" applyBorder="1" applyAlignment="1">
      <alignment horizontal="center" vertical="center" wrapText="1"/>
    </xf>
    <xf numFmtId="3" fontId="23" fillId="0" borderId="59" xfId="0" applyNumberFormat="1" applyFont="1" applyBorder="1" applyAlignment="1">
      <alignment vertical="center"/>
    </xf>
    <xf numFmtId="0" fontId="0" fillId="0" borderId="106" xfId="0" applyBorder="1"/>
    <xf numFmtId="3" fontId="0" fillId="0" borderId="106" xfId="0" applyNumberFormat="1" applyBorder="1"/>
    <xf numFmtId="0" fontId="0" fillId="0" borderId="109" xfId="0" applyBorder="1"/>
    <xf numFmtId="0" fontId="3" fillId="0" borderId="25" xfId="0" applyFont="1" applyBorder="1" applyAlignment="1">
      <alignment horizontal="justify" vertical="center" wrapText="1"/>
    </xf>
    <xf numFmtId="0" fontId="9" fillId="11" borderId="60" xfId="0" applyFont="1" applyFill="1" applyBorder="1" applyAlignment="1">
      <alignment horizontal="center" vertical="center"/>
    </xf>
    <xf numFmtId="0" fontId="84" fillId="0" borderId="0" xfId="0" applyFont="1"/>
    <xf numFmtId="0" fontId="85" fillId="0" borderId="0" xfId="0" applyFont="1"/>
    <xf numFmtId="0" fontId="6" fillId="0" borderId="0" xfId="0" applyFont="1"/>
    <xf numFmtId="0" fontId="58" fillId="0" borderId="0" xfId="0" applyFont="1" applyAlignment="1">
      <alignment horizontal="center" vertical="center" wrapText="1"/>
    </xf>
    <xf numFmtId="0" fontId="3" fillId="0" borderId="5" xfId="29" applyFont="1" applyBorder="1" applyAlignment="1">
      <alignment horizontal="center" vertical="center"/>
    </xf>
    <xf numFmtId="0" fontId="3" fillId="0" borderId="19" xfId="29" applyFont="1" applyBorder="1" applyAlignment="1">
      <alignment horizontal="center" vertical="center"/>
    </xf>
    <xf numFmtId="3" fontId="3" fillId="0" borderId="111" xfId="29" applyNumberFormat="1" applyFont="1" applyBorder="1" applyProtection="1">
      <protection locked="0"/>
    </xf>
    <xf numFmtId="3" fontId="3" fillId="0" borderId="123" xfId="29" applyNumberFormat="1" applyFont="1" applyBorder="1" applyProtection="1">
      <protection locked="0"/>
    </xf>
    <xf numFmtId="3" fontId="3" fillId="0" borderId="63" xfId="29" applyNumberFormat="1" applyFont="1" applyBorder="1" applyProtection="1">
      <protection locked="0"/>
    </xf>
    <xf numFmtId="168" fontId="3" fillId="5" borderId="99" xfId="29" applyNumberFormat="1" applyFont="1" applyFill="1" applyBorder="1"/>
    <xf numFmtId="168" fontId="3" fillId="5" borderId="93" xfId="29" applyNumberFormat="1" applyFont="1" applyFill="1" applyBorder="1"/>
    <xf numFmtId="0" fontId="3" fillId="0" borderId="28" xfId="0" applyFont="1" applyBorder="1" applyAlignment="1">
      <alignment horizontal="justify"/>
    </xf>
    <xf numFmtId="0" fontId="15" fillId="0" borderId="37" xfId="0" applyFont="1" applyBorder="1" applyAlignment="1">
      <alignment horizontal="center"/>
    </xf>
    <xf numFmtId="0" fontId="0" fillId="0" borderId="0" xfId="0" applyAlignment="1">
      <alignment horizontal="left"/>
    </xf>
    <xf numFmtId="0" fontId="87" fillId="0" borderId="0" xfId="0" applyFont="1" applyAlignment="1">
      <alignment wrapText="1"/>
    </xf>
    <xf numFmtId="0" fontId="0" fillId="0" borderId="0" xfId="0" applyAlignment="1" applyProtection="1">
      <alignment horizontal="left"/>
      <protection locked="0"/>
    </xf>
    <xf numFmtId="168" fontId="3" fillId="0" borderId="0" xfId="0" applyNumberFormat="1" applyFont="1"/>
    <xf numFmtId="40" fontId="3" fillId="5" borderId="106" xfId="5" applyFont="1" applyFill="1" applyBorder="1" applyAlignment="1">
      <alignment horizontal="center"/>
    </xf>
    <xf numFmtId="40" fontId="3" fillId="5" borderId="25" xfId="5" applyFont="1" applyFill="1" applyBorder="1" applyAlignment="1">
      <alignment horizontal="center"/>
    </xf>
    <xf numFmtId="40" fontId="3" fillId="5" borderId="38" xfId="5" applyFont="1" applyFill="1" applyBorder="1" applyAlignment="1">
      <alignment horizontal="center"/>
    </xf>
    <xf numFmtId="0" fontId="3" fillId="0" borderId="12" xfId="0" applyFont="1" applyBorder="1" applyAlignment="1">
      <alignment horizontal="justify"/>
    </xf>
    <xf numFmtId="0" fontId="23" fillId="0" borderId="105" xfId="0" applyFont="1" applyBorder="1" applyAlignment="1">
      <alignment horizontal="center" vertical="center"/>
    </xf>
    <xf numFmtId="0" fontId="23" fillId="0" borderId="109" xfId="0" applyFont="1" applyBorder="1" applyAlignment="1">
      <alignment horizontal="center" vertical="center" wrapText="1"/>
    </xf>
    <xf numFmtId="0" fontId="23" fillId="5" borderId="0" xfId="0" applyFont="1" applyFill="1" applyAlignment="1">
      <alignment horizontal="center" vertical="center" wrapText="1"/>
    </xf>
    <xf numFmtId="0" fontId="15" fillId="0" borderId="36" xfId="0" applyFont="1" applyBorder="1" applyAlignment="1">
      <alignment horizontal="centerContinuous"/>
    </xf>
    <xf numFmtId="0" fontId="81" fillId="0" borderId="56" xfId="0" applyFont="1" applyBorder="1" applyAlignment="1">
      <alignment horizontal="center"/>
    </xf>
    <xf numFmtId="0" fontId="89" fillId="0" borderId="36" xfId="0" applyFont="1" applyBorder="1" applyAlignment="1">
      <alignment horizontal="center"/>
    </xf>
    <xf numFmtId="0" fontId="89" fillId="0" borderId="25" xfId="0" applyFont="1" applyBorder="1" applyAlignment="1">
      <alignment horizontal="center"/>
    </xf>
    <xf numFmtId="0" fontId="89" fillId="0" borderId="56" xfId="0" applyFont="1" applyBorder="1" applyAlignment="1">
      <alignment horizontal="center"/>
    </xf>
    <xf numFmtId="0" fontId="89" fillId="0" borderId="0" xfId="0" applyFont="1" applyAlignment="1">
      <alignment horizontal="center"/>
    </xf>
    <xf numFmtId="0" fontId="10" fillId="0" borderId="36" xfId="0" applyFont="1" applyBorder="1" applyAlignment="1">
      <alignment horizontal="center" vertical="center"/>
    </xf>
    <xf numFmtId="0" fontId="10" fillId="0" borderId="56" xfId="0" applyFont="1" applyBorder="1" applyAlignment="1">
      <alignment horizontal="center" vertical="center" wrapText="1"/>
    </xf>
    <xf numFmtId="1" fontId="11" fillId="0" borderId="36" xfId="0" applyNumberFormat="1" applyFont="1" applyBorder="1" applyAlignment="1">
      <alignment horizontal="center" vertical="center" wrapText="1"/>
    </xf>
    <xf numFmtId="0" fontId="11" fillId="0" borderId="56" xfId="0" applyFont="1" applyBorder="1" applyAlignment="1">
      <alignment horizontal="center" vertical="center" wrapText="1"/>
    </xf>
    <xf numFmtId="3" fontId="15" fillId="5" borderId="0" xfId="0" applyNumberFormat="1" applyFont="1" applyFill="1" applyProtection="1">
      <protection locked="0"/>
    </xf>
    <xf numFmtId="0" fontId="11" fillId="0" borderId="36" xfId="0" applyFont="1" applyBorder="1" applyAlignment="1">
      <alignment horizontal="center" vertical="center" wrapText="1"/>
    </xf>
    <xf numFmtId="0" fontId="15" fillId="0" borderId="36" xfId="0" applyFont="1" applyBorder="1" applyAlignment="1">
      <alignment horizontal="left"/>
    </xf>
    <xf numFmtId="0" fontId="3" fillId="0" borderId="56" xfId="0" applyFont="1" applyBorder="1" applyAlignment="1">
      <alignment horizontal="center"/>
    </xf>
    <xf numFmtId="4" fontId="15" fillId="5" borderId="36" xfId="0" applyNumberFormat="1" applyFont="1" applyFill="1" applyBorder="1" applyProtection="1">
      <protection locked="0"/>
    </xf>
    <xf numFmtId="4" fontId="15" fillId="5" borderId="25" xfId="0" applyNumberFormat="1" applyFont="1" applyFill="1" applyBorder="1" applyProtection="1">
      <protection locked="0"/>
    </xf>
    <xf numFmtId="4" fontId="15" fillId="5" borderId="56" xfId="0" applyNumberFormat="1" applyFont="1" applyFill="1" applyBorder="1" applyProtection="1">
      <protection locked="0"/>
    </xf>
    <xf numFmtId="3" fontId="15" fillId="5" borderId="36" xfId="0" applyNumberFormat="1" applyFont="1" applyFill="1" applyBorder="1" applyProtection="1">
      <protection locked="0"/>
    </xf>
    <xf numFmtId="3" fontId="15" fillId="5" borderId="25" xfId="0" applyNumberFormat="1" applyFont="1" applyFill="1" applyBorder="1" applyProtection="1">
      <protection locked="0"/>
    </xf>
    <xf numFmtId="3" fontId="15" fillId="5" borderId="56" xfId="0" applyNumberFormat="1" applyFont="1" applyFill="1" applyBorder="1" applyProtection="1">
      <protection locked="0"/>
    </xf>
    <xf numFmtId="0" fontId="15" fillId="0" borderId="36" xfId="0" applyFont="1" applyBorder="1" applyAlignment="1">
      <alignment horizontal="center"/>
    </xf>
    <xf numFmtId="0" fontId="15" fillId="0" borderId="47" xfId="0" applyFont="1" applyBorder="1" applyAlignment="1">
      <alignment horizontal="center"/>
    </xf>
    <xf numFmtId="0" fontId="5" fillId="0" borderId="58" xfId="0" applyFont="1" applyBorder="1" applyAlignment="1">
      <alignment horizontal="right" vertical="center"/>
    </xf>
    <xf numFmtId="0" fontId="15" fillId="0" borderId="60" xfId="0" applyFont="1" applyBorder="1" applyAlignment="1">
      <alignment horizontal="center"/>
    </xf>
    <xf numFmtId="38" fontId="15" fillId="0" borderId="58" xfId="5" applyNumberFormat="1" applyFont="1" applyFill="1" applyBorder="1" applyAlignment="1"/>
    <xf numFmtId="38" fontId="15" fillId="0" borderId="60" xfId="5" applyNumberFormat="1" applyFont="1" applyFill="1" applyBorder="1" applyAlignment="1"/>
    <xf numFmtId="0" fontId="15" fillId="0" borderId="58" xfId="0" applyFont="1" applyBorder="1" applyAlignment="1">
      <alignment horizontal="center"/>
    </xf>
    <xf numFmtId="4" fontId="15" fillId="5" borderId="91" xfId="0" applyNumberFormat="1" applyFont="1" applyFill="1" applyBorder="1" applyProtection="1">
      <protection locked="0"/>
    </xf>
    <xf numFmtId="4" fontId="15" fillId="0" borderId="58" xfId="5" applyNumberFormat="1" applyFont="1" applyFill="1" applyBorder="1" applyAlignment="1"/>
    <xf numFmtId="4" fontId="15" fillId="0" borderId="60" xfId="5" applyNumberFormat="1" applyFont="1" applyFill="1" applyBorder="1" applyAlignment="1"/>
    <xf numFmtId="164" fontId="3" fillId="0" borderId="0" xfId="24" applyFont="1" applyAlignment="1">
      <alignment vertical="center"/>
    </xf>
    <xf numFmtId="0" fontId="10" fillId="0" borderId="138" xfId="0" applyFont="1" applyBorder="1" applyAlignment="1">
      <alignment horizontal="center" vertical="center"/>
    </xf>
    <xf numFmtId="0" fontId="105" fillId="12" borderId="0" xfId="0" applyFont="1" applyFill="1"/>
    <xf numFmtId="168" fontId="105" fillId="12" borderId="0" xfId="0" applyNumberFormat="1" applyFont="1" applyFill="1"/>
    <xf numFmtId="0" fontId="10" fillId="13" borderId="139" xfId="0" applyFont="1" applyFill="1" applyBorder="1" applyAlignment="1">
      <alignment horizontal="center" vertical="center"/>
    </xf>
    <xf numFmtId="0" fontId="10" fillId="13" borderId="83" xfId="0" applyFont="1" applyFill="1" applyBorder="1" applyAlignment="1">
      <alignment horizontal="center" vertical="center"/>
    </xf>
    <xf numFmtId="0" fontId="10" fillId="0" borderId="12" xfId="0" applyFont="1" applyBorder="1" applyAlignment="1">
      <alignment horizontal="centerContinuous" vertical="center"/>
    </xf>
    <xf numFmtId="0" fontId="39" fillId="0" borderId="34" xfId="33" applyFont="1" applyBorder="1" applyAlignment="1">
      <alignment horizontal="center"/>
    </xf>
    <xf numFmtId="0" fontId="10" fillId="13" borderId="12" xfId="33" applyFont="1" applyFill="1" applyBorder="1" applyAlignment="1">
      <alignment horizontal="center" vertical="center"/>
    </xf>
    <xf numFmtId="0" fontId="10" fillId="0" borderId="3" xfId="32" applyFont="1" applyBorder="1" applyAlignment="1">
      <alignment horizontal="centerContinuous" vertical="center"/>
    </xf>
    <xf numFmtId="0" fontId="3" fillId="0" borderId="34" xfId="28" applyFont="1" applyBorder="1" applyAlignment="1">
      <alignment horizontal="center"/>
    </xf>
    <xf numFmtId="0" fontId="10" fillId="13" borderId="34" xfId="28" applyFont="1" applyFill="1" applyBorder="1" applyAlignment="1">
      <alignment horizontal="center"/>
    </xf>
    <xf numFmtId="0" fontId="10" fillId="13" borderId="34" xfId="29" applyFont="1" applyFill="1" applyBorder="1" applyAlignment="1">
      <alignment horizontal="center"/>
    </xf>
    <xf numFmtId="0" fontId="10" fillId="13" borderId="34" xfId="30" applyFont="1" applyFill="1" applyBorder="1" applyAlignment="1">
      <alignment horizontal="center"/>
    </xf>
    <xf numFmtId="0" fontId="10" fillId="13" borderId="34" xfId="31" applyFont="1" applyFill="1" applyBorder="1" applyAlignment="1">
      <alignment horizontal="center"/>
    </xf>
    <xf numFmtId="0" fontId="10" fillId="13" borderId="34" xfId="32" applyFont="1" applyFill="1" applyBorder="1" applyAlignment="1">
      <alignment horizontal="center" vertical="center"/>
    </xf>
    <xf numFmtId="0" fontId="10" fillId="13" borderId="83" xfId="0" applyFont="1" applyFill="1" applyBorder="1" applyAlignment="1">
      <alignment horizontal="centerContinuous"/>
    </xf>
    <xf numFmtId="3" fontId="15" fillId="0" borderId="38" xfId="0" applyNumberFormat="1" applyFont="1" applyBorder="1" applyProtection="1">
      <protection locked="0"/>
    </xf>
    <xf numFmtId="0" fontId="15" fillId="0" borderId="57" xfId="0" applyFont="1" applyBorder="1" applyAlignment="1" applyProtection="1">
      <alignment wrapText="1"/>
      <protection locked="0"/>
    </xf>
    <xf numFmtId="168" fontId="3" fillId="5" borderId="50" xfId="0" applyNumberFormat="1" applyFont="1" applyFill="1" applyBorder="1" applyProtection="1">
      <protection locked="0"/>
    </xf>
    <xf numFmtId="168" fontId="3" fillId="5" borderId="35" xfId="0" applyNumberFormat="1" applyFont="1" applyFill="1" applyBorder="1" applyProtection="1">
      <protection locked="0"/>
    </xf>
    <xf numFmtId="168" fontId="3" fillId="0" borderId="50" xfId="0" applyNumberFormat="1" applyFont="1" applyBorder="1" applyProtection="1">
      <protection locked="0"/>
    </xf>
    <xf numFmtId="168" fontId="3" fillId="0" borderId="35" xfId="0" applyNumberFormat="1" applyFont="1" applyBorder="1" applyProtection="1">
      <protection locked="0"/>
    </xf>
    <xf numFmtId="168" fontId="3" fillId="0" borderId="72" xfId="33" applyNumberFormat="1" applyFont="1" applyBorder="1" applyProtection="1">
      <protection locked="0"/>
    </xf>
    <xf numFmtId="168" fontId="3" fillId="0" borderId="65" xfId="33" applyNumberFormat="1" applyFont="1" applyBorder="1" applyProtection="1">
      <protection locked="0"/>
    </xf>
    <xf numFmtId="168" fontId="3" fillId="0" borderId="127" xfId="33" applyNumberFormat="1" applyFont="1" applyBorder="1" applyProtection="1">
      <protection locked="0"/>
    </xf>
    <xf numFmtId="168" fontId="3" fillId="0" borderId="125" xfId="33" applyNumberFormat="1" applyFont="1" applyBorder="1" applyProtection="1">
      <protection locked="0"/>
    </xf>
    <xf numFmtId="168" fontId="3" fillId="0" borderId="40" xfId="33" applyNumberFormat="1" applyFont="1" applyBorder="1" applyProtection="1">
      <protection locked="0"/>
    </xf>
    <xf numFmtId="168" fontId="3" fillId="0" borderId="67" xfId="33" applyNumberFormat="1" applyFont="1" applyBorder="1" applyProtection="1">
      <protection locked="0"/>
    </xf>
    <xf numFmtId="168" fontId="3" fillId="0" borderId="63" xfId="33" applyNumberFormat="1" applyFont="1" applyBorder="1" applyProtection="1">
      <protection locked="0"/>
    </xf>
    <xf numFmtId="168" fontId="3" fillId="0" borderId="98" xfId="33" applyNumberFormat="1" applyFont="1" applyBorder="1" applyProtection="1">
      <protection locked="0"/>
    </xf>
    <xf numFmtId="168" fontId="3" fillId="0" borderId="123" xfId="33" applyNumberFormat="1" applyFont="1" applyBorder="1" applyProtection="1">
      <protection locked="0"/>
    </xf>
    <xf numFmtId="168" fontId="3" fillId="0" borderId="51" xfId="0" applyNumberFormat="1" applyFont="1" applyBorder="1" applyProtection="1">
      <protection locked="0"/>
    </xf>
    <xf numFmtId="168" fontId="3" fillId="0" borderId="52" xfId="0" applyNumberFormat="1" applyFont="1" applyBorder="1" applyProtection="1">
      <protection locked="0"/>
    </xf>
    <xf numFmtId="168" fontId="3" fillId="0" borderId="53" xfId="0" applyNumberFormat="1" applyFont="1" applyBorder="1" applyProtection="1">
      <protection locked="0"/>
    </xf>
    <xf numFmtId="0" fontId="6" fillId="0" borderId="88" xfId="0" applyFont="1" applyBorder="1" applyAlignment="1">
      <alignment horizontal="center" vertical="center"/>
    </xf>
    <xf numFmtId="0" fontId="24" fillId="0" borderId="64" xfId="0" applyFont="1" applyBorder="1" applyAlignment="1">
      <alignment horizontal="center"/>
    </xf>
    <xf numFmtId="0" fontId="24" fillId="0" borderId="0" xfId="0" applyFont="1" applyAlignment="1">
      <alignment horizontal="center"/>
    </xf>
    <xf numFmtId="0" fontId="24" fillId="0" borderId="122" xfId="0" applyFont="1" applyBorder="1" applyAlignment="1">
      <alignment horizontal="center"/>
    </xf>
    <xf numFmtId="0" fontId="15" fillId="0" borderId="64" xfId="0" applyFont="1" applyBorder="1" applyAlignment="1">
      <alignment horizontal="center"/>
    </xf>
    <xf numFmtId="0" fontId="24" fillId="0" borderId="48" xfId="0" applyFont="1" applyBorder="1" applyAlignment="1">
      <alignment horizontal="center"/>
    </xf>
    <xf numFmtId="0" fontId="24" fillId="0" borderId="44" xfId="0" applyFont="1" applyBorder="1" applyAlignment="1">
      <alignment horizontal="center"/>
    </xf>
    <xf numFmtId="0" fontId="24" fillId="0" borderId="123" xfId="0" applyFont="1" applyBorder="1" applyAlignment="1">
      <alignment horizontal="center"/>
    </xf>
    <xf numFmtId="0" fontId="24" fillId="0" borderId="140" xfId="0" applyFont="1" applyBorder="1" applyAlignment="1">
      <alignment horizontal="center"/>
    </xf>
    <xf numFmtId="3" fontId="24" fillId="0" borderId="64" xfId="0" applyNumberFormat="1" applyFont="1" applyBorder="1" applyAlignment="1">
      <alignment horizontal="center"/>
    </xf>
    <xf numFmtId="0" fontId="7" fillId="0" borderId="0" xfId="0" applyFont="1" applyAlignment="1">
      <alignment vertical="top"/>
    </xf>
    <xf numFmtId="3" fontId="3" fillId="5" borderId="37" xfId="0" applyNumberFormat="1" applyFont="1" applyFill="1" applyBorder="1" applyAlignment="1">
      <alignment horizontal="center" vertical="center"/>
    </xf>
    <xf numFmtId="0" fontId="18" fillId="0" borderId="16" xfId="0" applyFont="1" applyBorder="1" applyAlignment="1">
      <alignment horizontal="center" vertical="center" wrapText="1"/>
    </xf>
    <xf numFmtId="0" fontId="2" fillId="0" borderId="0" xfId="0" applyFont="1" applyAlignment="1">
      <alignment wrapText="1"/>
    </xf>
    <xf numFmtId="0" fontId="90" fillId="0" borderId="0" xfId="0" applyFont="1"/>
    <xf numFmtId="0" fontId="23" fillId="0" borderId="12" xfId="0" applyFont="1" applyBorder="1" applyAlignment="1">
      <alignment horizontal="left" wrapText="1"/>
    </xf>
    <xf numFmtId="0" fontId="23" fillId="0" borderId="0" xfId="0" applyFont="1" applyAlignment="1">
      <alignment horizontal="left" wrapText="1"/>
    </xf>
    <xf numFmtId="0" fontId="23" fillId="0" borderId="30" xfId="0" applyFont="1" applyBorder="1" applyAlignment="1">
      <alignment horizontal="left" wrapText="1"/>
    </xf>
    <xf numFmtId="0" fontId="3" fillId="0" borderId="101" xfId="0" applyFont="1" applyBorder="1"/>
    <xf numFmtId="0" fontId="2" fillId="0" borderId="101" xfId="0" applyFont="1" applyBorder="1" applyAlignment="1">
      <alignment vertical="top" wrapText="1"/>
    </xf>
    <xf numFmtId="0" fontId="2" fillId="0" borderId="101" xfId="0" applyFont="1" applyBorder="1"/>
    <xf numFmtId="0" fontId="6" fillId="0" borderId="76" xfId="0" applyFont="1" applyBorder="1" applyAlignment="1">
      <alignment horizontal="center" vertical="center" wrapText="1"/>
    </xf>
    <xf numFmtId="0" fontId="6" fillId="0" borderId="137"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109" xfId="0" applyFont="1" applyBorder="1" applyAlignment="1">
      <alignment horizontal="center" vertical="center" wrapText="1"/>
    </xf>
    <xf numFmtId="38" fontId="3" fillId="0" borderId="25" xfId="5" applyNumberFormat="1" applyFont="1" applyBorder="1" applyAlignment="1"/>
    <xf numFmtId="2" fontId="3" fillId="0" borderId="25" xfId="5" applyNumberFormat="1" applyFont="1" applyBorder="1" applyAlignment="1"/>
    <xf numFmtId="0" fontId="106" fillId="0" borderId="0" xfId="12" applyFont="1" applyAlignment="1" applyProtection="1">
      <alignment horizontal="centerContinuous" vertical="center"/>
      <protection hidden="1"/>
    </xf>
    <xf numFmtId="0" fontId="106" fillId="0" borderId="0" xfId="12" applyFont="1" applyAlignment="1" applyProtection="1">
      <alignment horizontal="center" vertical="center"/>
      <protection hidden="1"/>
    </xf>
    <xf numFmtId="164" fontId="107" fillId="0" borderId="0" xfId="24" applyFont="1" applyAlignment="1">
      <alignment vertical="center"/>
    </xf>
    <xf numFmtId="0" fontId="3" fillId="0" borderId="141" xfId="0" applyFont="1" applyBorder="1" applyAlignment="1">
      <alignment horizontal="centerContinuous" vertical="center" wrapText="1"/>
    </xf>
    <xf numFmtId="0" fontId="3" fillId="0" borderId="125" xfId="0" applyFont="1" applyBorder="1" applyAlignment="1">
      <alignment horizontal="center" vertical="center" wrapText="1"/>
    </xf>
    <xf numFmtId="0" fontId="2" fillId="4" borderId="0" xfId="19" applyFont="1"/>
    <xf numFmtId="0" fontId="2" fillId="4" borderId="0" xfId="19" applyFont="1" applyAlignment="1">
      <alignment horizontal="right"/>
    </xf>
    <xf numFmtId="0" fontId="2" fillId="4" borderId="0" xfId="19" applyFont="1" applyAlignment="1">
      <alignment horizontal="left"/>
    </xf>
    <xf numFmtId="0" fontId="26" fillId="4" borderId="0" xfId="19"/>
    <xf numFmtId="0" fontId="75" fillId="4" borderId="0" xfId="19" applyFont="1" applyAlignment="1">
      <alignment horizontal="center"/>
    </xf>
    <xf numFmtId="0" fontId="91" fillId="4" borderId="0" xfId="19" applyFont="1" applyAlignment="1">
      <alignment horizontal="left"/>
    </xf>
    <xf numFmtId="0" fontId="75" fillId="4" borderId="0" xfId="19" applyFont="1" applyAlignment="1">
      <alignment horizontal="right"/>
    </xf>
    <xf numFmtId="0" fontId="15" fillId="0" borderId="0" xfId="27"/>
    <xf numFmtId="0" fontId="15" fillId="0" borderId="0" xfId="27" applyAlignment="1">
      <alignment vertical="center"/>
    </xf>
    <xf numFmtId="0" fontId="12" fillId="0" borderId="44" xfId="21" applyFont="1" applyBorder="1" applyAlignment="1">
      <alignment horizontal="center"/>
    </xf>
    <xf numFmtId="0" fontId="12" fillId="0" borderId="25" xfId="27" applyFont="1" applyBorder="1" applyAlignment="1">
      <alignment horizontal="center"/>
    </xf>
    <xf numFmtId="0" fontId="12" fillId="0" borderId="56" xfId="27" applyFont="1" applyBorder="1" applyAlignment="1">
      <alignment horizontal="center"/>
    </xf>
    <xf numFmtId="0" fontId="25" fillId="0" borderId="0" xfId="27" applyFont="1" applyAlignment="1">
      <alignment horizontal="center"/>
    </xf>
    <xf numFmtId="0" fontId="3" fillId="0" borderId="28" xfId="21" applyFont="1" applyBorder="1" applyAlignment="1">
      <alignment horizontal="left"/>
    </xf>
    <xf numFmtId="0" fontId="11" fillId="0" borderId="44" xfId="21" applyFont="1" applyBorder="1" applyAlignment="1">
      <alignment horizontal="center"/>
    </xf>
    <xf numFmtId="169" fontId="3" fillId="0" borderId="44" xfId="8" applyNumberFormat="1" applyFont="1" applyFill="1" applyBorder="1" applyAlignment="1" applyProtection="1">
      <alignment horizontal="center"/>
      <protection locked="0"/>
    </xf>
    <xf numFmtId="169" fontId="3" fillId="0" borderId="25" xfId="8" applyNumberFormat="1" applyFont="1" applyBorder="1" applyProtection="1">
      <protection locked="0"/>
    </xf>
    <xf numFmtId="170" fontId="6" fillId="0" borderId="48" xfId="8" applyNumberFormat="1" applyFont="1" applyBorder="1" applyProtection="1"/>
    <xf numFmtId="170" fontId="6" fillId="0" borderId="56" xfId="8" applyNumberFormat="1" applyFont="1" applyBorder="1" applyProtection="1"/>
    <xf numFmtId="3" fontId="15" fillId="0" borderId="0" xfId="27" applyNumberFormat="1"/>
    <xf numFmtId="0" fontId="6" fillId="0" borderId="14" xfId="21" applyFont="1" applyBorder="1" applyAlignment="1">
      <alignment horizontal="left"/>
    </xf>
    <xf numFmtId="0" fontId="10" fillId="0" borderId="18" xfId="21" applyFont="1" applyBorder="1" applyAlignment="1">
      <alignment horizontal="center"/>
    </xf>
    <xf numFmtId="170" fontId="6" fillId="0" borderId="18" xfId="8" applyNumberFormat="1" applyFont="1" applyFill="1" applyBorder="1" applyAlignment="1" applyProtection="1">
      <alignment horizontal="center"/>
    </xf>
    <xf numFmtId="170" fontId="6" fillId="0" borderId="94" xfId="8" applyNumberFormat="1" applyFont="1" applyFill="1" applyBorder="1" applyAlignment="1" applyProtection="1">
      <alignment horizontal="center"/>
    </xf>
    <xf numFmtId="0" fontId="5" fillId="0" borderId="0" xfId="27" applyFont="1"/>
    <xf numFmtId="0" fontId="6" fillId="0" borderId="0" xfId="21" applyFont="1" applyAlignment="1">
      <alignment horizontal="right" vertical="center"/>
    </xf>
    <xf numFmtId="0" fontId="3" fillId="0" borderId="0" xfId="21" applyFont="1" applyAlignment="1">
      <alignment horizontal="center"/>
    </xf>
    <xf numFmtId="0" fontId="13" fillId="0" borderId="50" xfId="0" applyFont="1" applyBorder="1" applyAlignment="1">
      <alignment horizontal="centerContinuous" vertical="center" wrapText="1"/>
    </xf>
    <xf numFmtId="0" fontId="13" fillId="0" borderId="68" xfId="0" applyFont="1" applyBorder="1" applyAlignment="1">
      <alignment horizontal="centerContinuous" vertical="center"/>
    </xf>
    <xf numFmtId="0" fontId="13" fillId="0" borderId="50" xfId="0" applyFont="1" applyBorder="1" applyAlignment="1">
      <alignment horizontal="centerContinuous" vertical="center"/>
    </xf>
    <xf numFmtId="0" fontId="82" fillId="0" borderId="101" xfId="0" applyFont="1" applyBorder="1" applyAlignment="1">
      <alignment vertical="center" wrapText="1"/>
    </xf>
    <xf numFmtId="164" fontId="5" fillId="0" borderId="25" xfId="24" applyFont="1" applyBorder="1" applyAlignment="1">
      <alignment horizontal="center" vertical="center"/>
    </xf>
    <xf numFmtId="0" fontId="3" fillId="14" borderId="135" xfId="0" applyFont="1" applyFill="1" applyBorder="1"/>
    <xf numFmtId="0" fontId="108" fillId="12" borderId="0" xfId="0" applyFont="1" applyFill="1" applyAlignment="1">
      <alignment horizontal="center" wrapText="1"/>
    </xf>
    <xf numFmtId="0" fontId="109" fillId="0" borderId="0" xfId="0" applyFont="1" applyAlignment="1">
      <alignment horizontal="center"/>
    </xf>
    <xf numFmtId="0" fontId="20" fillId="0" borderId="0" xfId="0" applyFont="1"/>
    <xf numFmtId="0" fontId="3" fillId="0" borderId="105" xfId="0" applyFont="1" applyBorder="1"/>
    <xf numFmtId="0" fontId="3" fillId="0" borderId="107" xfId="0" applyFont="1" applyBorder="1"/>
    <xf numFmtId="0" fontId="3" fillId="0" borderId="37" xfId="0" applyFont="1" applyBorder="1"/>
    <xf numFmtId="0" fontId="109" fillId="0" borderId="64" xfId="0" applyFont="1" applyBorder="1" applyAlignment="1">
      <alignment horizontal="center"/>
    </xf>
    <xf numFmtId="1" fontId="15" fillId="7" borderId="25" xfId="24" applyNumberFormat="1" applyFont="1" applyFill="1" applyBorder="1" applyAlignment="1" applyProtection="1">
      <alignment vertical="center"/>
      <protection locked="0"/>
    </xf>
    <xf numFmtId="0" fontId="106" fillId="0" borderId="0" xfId="13" applyFont="1" applyAlignment="1" applyProtection="1">
      <alignment horizontal="center" vertical="center"/>
      <protection hidden="1"/>
    </xf>
    <xf numFmtId="0" fontId="110" fillId="0" borderId="0" xfId="13" applyFont="1" applyAlignment="1">
      <alignment wrapText="1"/>
    </xf>
    <xf numFmtId="0" fontId="111" fillId="0" borderId="0" xfId="13" applyFont="1" applyAlignment="1">
      <alignment horizontal="center" vertical="center"/>
    </xf>
    <xf numFmtId="0" fontId="112" fillId="0" borderId="0" xfId="13" applyFont="1" applyAlignment="1">
      <alignment horizontal="center" vertical="center" wrapText="1"/>
    </xf>
    <xf numFmtId="0" fontId="110" fillId="0" borderId="0" xfId="13" applyFont="1"/>
    <xf numFmtId="0" fontId="110" fillId="0" borderId="0" xfId="13" applyFont="1" applyAlignment="1">
      <alignment vertical="center" wrapText="1"/>
    </xf>
    <xf numFmtId="0" fontId="110" fillId="0" borderId="0" xfId="13" applyFont="1" applyAlignment="1">
      <alignment vertical="center"/>
    </xf>
    <xf numFmtId="0" fontId="113" fillId="0" borderId="0" xfId="13" applyFont="1" applyAlignment="1">
      <alignment horizontal="center" vertical="center" wrapText="1"/>
    </xf>
    <xf numFmtId="0" fontId="114" fillId="0" borderId="0" xfId="13" applyFont="1" applyAlignment="1">
      <alignment horizontal="center" vertical="center"/>
    </xf>
    <xf numFmtId="0" fontId="115" fillId="0" borderId="0" xfId="13" applyFont="1" applyAlignment="1">
      <alignment horizontal="center" vertical="center"/>
    </xf>
    <xf numFmtId="0" fontId="116" fillId="0" borderId="0" xfId="13" applyFont="1" applyAlignment="1">
      <alignment vertical="center" wrapText="1"/>
    </xf>
    <xf numFmtId="0" fontId="117" fillId="0" borderId="0" xfId="13" applyFont="1" applyAlignment="1">
      <alignment horizontal="center" vertical="center"/>
    </xf>
    <xf numFmtId="0" fontId="118" fillId="0" borderId="0" xfId="13" applyFont="1" applyAlignment="1">
      <alignment horizontal="center" vertical="center"/>
    </xf>
    <xf numFmtId="0" fontId="115" fillId="0" borderId="0" xfId="13" applyFont="1" applyAlignment="1">
      <alignment horizontal="center" vertical="center" wrapText="1"/>
    </xf>
    <xf numFmtId="0" fontId="117" fillId="0" borderId="0" xfId="13" applyFont="1" applyAlignment="1">
      <alignment vertical="center"/>
    </xf>
    <xf numFmtId="0" fontId="110" fillId="0" borderId="0" xfId="13" applyFont="1" applyAlignment="1" applyProtection="1">
      <alignment horizontal="center" vertical="center"/>
      <protection hidden="1"/>
    </xf>
    <xf numFmtId="0" fontId="115" fillId="0" borderId="0" xfId="13" applyFont="1" applyAlignment="1">
      <alignment vertical="center"/>
    </xf>
    <xf numFmtId="0" fontId="119" fillId="0" borderId="0" xfId="13" applyFont="1" applyAlignment="1">
      <alignment vertical="center" wrapText="1"/>
    </xf>
    <xf numFmtId="0" fontId="113" fillId="0" borderId="0" xfId="13" applyFont="1" applyAlignment="1">
      <alignment vertical="center"/>
    </xf>
    <xf numFmtId="0" fontId="117" fillId="0" borderId="0" xfId="13" applyFont="1" applyAlignment="1">
      <alignment vertical="center" wrapText="1"/>
    </xf>
    <xf numFmtId="0" fontId="113" fillId="0" borderId="0" xfId="13" applyFont="1" applyAlignment="1">
      <alignment horizontal="center" vertical="center"/>
    </xf>
    <xf numFmtId="0" fontId="110" fillId="0" borderId="0" xfId="9" applyFont="1" applyAlignment="1">
      <alignment horizontal="center" vertical="center"/>
    </xf>
    <xf numFmtId="0" fontId="113" fillId="0" borderId="0" xfId="13" applyFont="1"/>
    <xf numFmtId="0" fontId="115" fillId="0" borderId="0" xfId="13" applyFont="1"/>
    <xf numFmtId="0" fontId="117" fillId="0" borderId="0" xfId="13" applyFont="1"/>
    <xf numFmtId="0" fontId="6" fillId="0" borderId="104" xfId="0" applyFont="1" applyBorder="1" applyAlignment="1">
      <alignment horizontal="center" vertical="center" wrapText="1"/>
    </xf>
    <xf numFmtId="0" fontId="6" fillId="0" borderId="104" xfId="0" applyFont="1" applyBorder="1" applyAlignment="1">
      <alignment horizontal="centerContinuous" vertical="center"/>
    </xf>
    <xf numFmtId="0" fontId="6" fillId="0" borderId="104" xfId="0" applyFont="1" applyBorder="1" applyAlignment="1">
      <alignment horizontal="centerContinuous" vertical="center" wrapText="1"/>
    </xf>
    <xf numFmtId="0" fontId="2" fillId="0" borderId="104" xfId="0" applyFont="1" applyBorder="1" applyAlignment="1">
      <alignment horizontal="centerContinuous" vertical="center"/>
    </xf>
    <xf numFmtId="0" fontId="120" fillId="0" borderId="0" xfId="0" applyFont="1"/>
    <xf numFmtId="164" fontId="121" fillId="0" borderId="0" xfId="24" applyFont="1" applyAlignment="1">
      <alignment vertical="center"/>
    </xf>
    <xf numFmtId="164" fontId="107" fillId="0" borderId="0" xfId="24" applyFont="1" applyAlignment="1">
      <alignment horizontal="center" vertical="center"/>
    </xf>
    <xf numFmtId="0" fontId="93" fillId="0" borderId="0" xfId="0" applyFont="1" applyAlignment="1">
      <alignment vertical="top"/>
    </xf>
    <xf numFmtId="167" fontId="3" fillId="0" borderId="0" xfId="0" applyNumberFormat="1" applyFont="1"/>
    <xf numFmtId="0" fontId="3" fillId="0" borderId="0" xfId="9" applyFont="1"/>
    <xf numFmtId="0" fontId="3" fillId="0" borderId="0" xfId="9" applyFont="1" applyAlignment="1">
      <alignment horizontal="center"/>
    </xf>
    <xf numFmtId="0" fontId="3" fillId="0" borderId="0" xfId="9" applyFont="1" applyAlignment="1">
      <alignment horizontal="center" vertical="center"/>
    </xf>
    <xf numFmtId="0" fontId="3" fillId="0" borderId="0" xfId="9" applyFont="1" applyAlignment="1">
      <alignment vertical="center"/>
    </xf>
    <xf numFmtId="0" fontId="26" fillId="0" borderId="0" xfId="9" applyFont="1" applyAlignment="1">
      <alignment horizontal="center" vertical="center"/>
    </xf>
    <xf numFmtId="0" fontId="5" fillId="0" borderId="105" xfId="9" applyFont="1" applyBorder="1" applyAlignment="1">
      <alignment horizontal="centerContinuous" vertical="center"/>
    </xf>
    <xf numFmtId="0" fontId="3" fillId="0" borderId="5" xfId="9" applyFont="1" applyBorder="1" applyAlignment="1">
      <alignment horizontal="centerContinuous"/>
    </xf>
    <xf numFmtId="0" fontId="3" fillId="0" borderId="19" xfId="9" applyFont="1" applyBorder="1" applyAlignment="1">
      <alignment horizontal="centerContinuous" vertical="center"/>
    </xf>
    <xf numFmtId="0" fontId="3" fillId="8" borderId="135" xfId="9" applyFont="1" applyFill="1" applyBorder="1"/>
    <xf numFmtId="0" fontId="3" fillId="0" borderId="5" xfId="9" applyFont="1" applyBorder="1" applyAlignment="1">
      <alignment horizontal="centerContinuous" vertical="center"/>
    </xf>
    <xf numFmtId="0" fontId="37" fillId="0" borderId="104" xfId="9" applyFont="1" applyBorder="1" applyAlignment="1">
      <alignment horizontal="center" vertical="center"/>
    </xf>
    <xf numFmtId="0" fontId="26" fillId="0" borderId="0" xfId="9" applyFont="1" applyAlignment="1">
      <alignment horizontal="center" vertical="center" wrapText="1"/>
    </xf>
    <xf numFmtId="0" fontId="3" fillId="0" borderId="36" xfId="0" applyFont="1" applyBorder="1" applyAlignment="1">
      <alignment horizontal="center"/>
    </xf>
    <xf numFmtId="0" fontId="25" fillId="8" borderId="148" xfId="0" applyFont="1" applyFill="1" applyBorder="1" applyAlignment="1">
      <alignment horizontal="center" vertical="center"/>
    </xf>
    <xf numFmtId="0" fontId="3" fillId="0" borderId="48" xfId="0" applyFont="1" applyBorder="1" applyAlignment="1">
      <alignment horizontal="center"/>
    </xf>
    <xf numFmtId="0" fontId="90" fillId="0" borderId="0" xfId="0" applyFont="1" applyAlignment="1">
      <alignment vertical="center" wrapText="1"/>
    </xf>
    <xf numFmtId="0" fontId="2" fillId="0" borderId="149" xfId="0" applyFont="1" applyBorder="1"/>
    <xf numFmtId="0" fontId="2" fillId="0" borderId="122" xfId="0" applyFont="1" applyBorder="1"/>
    <xf numFmtId="0" fontId="2" fillId="0" borderId="142" xfId="0" applyFont="1" applyBorder="1"/>
    <xf numFmtId="0" fontId="90" fillId="0" borderId="0" xfId="0" applyFont="1" applyAlignment="1">
      <alignment vertical="center"/>
    </xf>
    <xf numFmtId="0" fontId="26" fillId="0" borderId="0" xfId="9" applyFont="1" applyAlignment="1">
      <alignment horizontal="centerContinuous" vertical="center"/>
    </xf>
    <xf numFmtId="0" fontId="3" fillId="0" borderId="0" xfId="9" applyFont="1" applyAlignment="1">
      <alignment horizontal="centerContinuous" vertical="center"/>
    </xf>
    <xf numFmtId="0" fontId="81" fillId="0" borderId="28" xfId="9" applyFont="1" applyBorder="1" applyAlignment="1">
      <alignment horizontal="left" vertical="top" wrapText="1"/>
    </xf>
    <xf numFmtId="0" fontId="5" fillId="0" borderId="64" xfId="0" applyFont="1" applyBorder="1"/>
    <xf numFmtId="0" fontId="5" fillId="0" borderId="54" xfId="0" applyFont="1" applyBorder="1"/>
    <xf numFmtId="0" fontId="81" fillId="0" borderId="28" xfId="9" applyFont="1" applyBorder="1" applyAlignment="1">
      <alignment horizontal="left" vertical="top"/>
    </xf>
    <xf numFmtId="3" fontId="4" fillId="0" borderId="56" xfId="0" applyNumberFormat="1" applyFont="1" applyBorder="1" applyProtection="1">
      <protection locked="0"/>
    </xf>
    <xf numFmtId="0" fontId="37" fillId="0" borderId="104" xfId="9" applyFont="1" applyBorder="1" applyAlignment="1">
      <alignment horizontal="center" vertical="center" wrapText="1"/>
    </xf>
    <xf numFmtId="0" fontId="33" fillId="0" borderId="150" xfId="9" applyFont="1" applyBorder="1" applyAlignment="1">
      <alignment horizontal="left" vertical="center"/>
    </xf>
    <xf numFmtId="168" fontId="11" fillId="0" borderId="137" xfId="0" applyNumberFormat="1" applyFont="1" applyBorder="1" applyAlignment="1">
      <alignment vertical="center"/>
    </xf>
    <xf numFmtId="0" fontId="28" fillId="0" borderId="151" xfId="0" applyFont="1" applyBorder="1" applyAlignment="1">
      <alignment horizontal="right"/>
    </xf>
    <xf numFmtId="168" fontId="28" fillId="0" borderId="152" xfId="0" applyNumberFormat="1" applyFont="1" applyBorder="1" applyAlignment="1">
      <alignment vertical="center"/>
    </xf>
    <xf numFmtId="0" fontId="3" fillId="8" borderId="30" xfId="0" applyFont="1" applyFill="1" applyBorder="1"/>
    <xf numFmtId="0" fontId="122" fillId="0" borderId="148" xfId="12" applyFont="1" applyBorder="1" applyAlignment="1">
      <alignment horizontal="center"/>
    </xf>
    <xf numFmtId="0" fontId="3" fillId="10" borderId="0" xfId="0" applyFont="1" applyFill="1" applyAlignment="1">
      <alignment horizontal="center"/>
    </xf>
    <xf numFmtId="0" fontId="33" fillId="0" borderId="150" xfId="0" applyFont="1" applyBorder="1" applyAlignment="1">
      <alignment horizontal="right"/>
    </xf>
    <xf numFmtId="168" fontId="33" fillId="0" borderId="137" xfId="0" applyNumberFormat="1" applyFont="1" applyBorder="1" applyAlignment="1">
      <alignment vertical="center"/>
    </xf>
    <xf numFmtId="0" fontId="81" fillId="0" borderId="32" xfId="0" applyFont="1" applyBorder="1"/>
    <xf numFmtId="0" fontId="81" fillId="0" borderId="5" xfId="0" applyFont="1" applyBorder="1"/>
    <xf numFmtId="0" fontId="81" fillId="0" borderId="19" xfId="0" applyFont="1" applyBorder="1"/>
    <xf numFmtId="0" fontId="3" fillId="0" borderId="36" xfId="9" applyFont="1" applyBorder="1" applyAlignment="1">
      <alignment horizontal="left"/>
    </xf>
    <xf numFmtId="0" fontId="81" fillId="0" borderId="32" xfId="9" applyFont="1" applyBorder="1" applyAlignment="1">
      <alignment horizontal="left"/>
    </xf>
    <xf numFmtId="0" fontId="3" fillId="0" borderId="48" xfId="9" applyFont="1" applyBorder="1" applyAlignment="1">
      <alignment horizontal="center"/>
    </xf>
    <xf numFmtId="0" fontId="3" fillId="0" borderId="25" xfId="9" applyFont="1" applyBorder="1" applyAlignment="1">
      <alignment horizontal="center"/>
    </xf>
    <xf numFmtId="0" fontId="3" fillId="0" borderId="25" xfId="13" applyFont="1" applyBorder="1" applyAlignment="1">
      <alignment horizontal="center"/>
    </xf>
    <xf numFmtId="0" fontId="33" fillId="0" borderId="150" xfId="9" applyFont="1" applyBorder="1" applyAlignment="1">
      <alignment horizontal="right"/>
    </xf>
    <xf numFmtId="168" fontId="33" fillId="0" borderId="137" xfId="9" applyNumberFormat="1" applyFont="1" applyBorder="1" applyAlignment="1">
      <alignment vertical="center"/>
    </xf>
    <xf numFmtId="0" fontId="5" fillId="0" borderId="151" xfId="9" applyFont="1" applyBorder="1" applyAlignment="1">
      <alignment horizontal="center" vertical="center"/>
    </xf>
    <xf numFmtId="0" fontId="5" fillId="0" borderId="153" xfId="0" applyFont="1" applyBorder="1"/>
    <xf numFmtId="168" fontId="5" fillId="0" borderId="60" xfId="0" applyNumberFormat="1" applyFont="1" applyBorder="1" applyAlignment="1">
      <alignment vertical="center"/>
    </xf>
    <xf numFmtId="0" fontId="5" fillId="0" borderId="146" xfId="9" applyFont="1" applyBorder="1" applyAlignment="1">
      <alignment horizontal="center" vertical="center"/>
    </xf>
    <xf numFmtId="0" fontId="26" fillId="8" borderId="30" xfId="0" applyFont="1" applyFill="1" applyBorder="1"/>
    <xf numFmtId="0" fontId="2" fillId="0" borderId="3" xfId="0" applyFont="1" applyBorder="1"/>
    <xf numFmtId="0" fontId="2" fillId="0" borderId="154" xfId="0" applyFont="1" applyBorder="1"/>
    <xf numFmtId="0" fontId="2" fillId="0" borderId="62" xfId="0" applyFont="1" applyBorder="1"/>
    <xf numFmtId="0" fontId="90" fillId="0" borderId="0" xfId="0" applyFont="1" applyAlignment="1">
      <alignment horizontal="center" vertical="center"/>
    </xf>
    <xf numFmtId="0" fontId="4" fillId="0" borderId="155" xfId="0" applyFont="1" applyBorder="1"/>
    <xf numFmtId="0" fontId="6" fillId="0" borderId="155" xfId="0" applyFont="1" applyBorder="1"/>
    <xf numFmtId="0" fontId="4" fillId="0" borderId="121" xfId="0" applyFont="1" applyBorder="1"/>
    <xf numFmtId="0" fontId="3" fillId="8" borderId="12" xfId="0" applyFont="1" applyFill="1" applyBorder="1" applyAlignment="1">
      <alignment horizontal="left"/>
    </xf>
    <xf numFmtId="0" fontId="11" fillId="8" borderId="0" xfId="0" applyFont="1" applyFill="1" applyAlignment="1">
      <alignment horizontal="center"/>
    </xf>
    <xf numFmtId="3" fontId="3" fillId="8" borderId="30" xfId="0" applyNumberFormat="1" applyFont="1" applyFill="1" applyBorder="1"/>
    <xf numFmtId="0" fontId="123" fillId="0" borderId="156" xfId="0" applyFont="1" applyBorder="1" applyAlignment="1">
      <alignment vertical="center"/>
    </xf>
    <xf numFmtId="0" fontId="37" fillId="0" borderId="0" xfId="0" applyFont="1" applyAlignment="1">
      <alignment vertical="center"/>
    </xf>
    <xf numFmtId="0" fontId="3" fillId="0" borderId="5" xfId="9" applyFont="1" applyBorder="1"/>
    <xf numFmtId="168" fontId="6" fillId="0" borderId="19" xfId="9" applyNumberFormat="1" applyFont="1" applyBorder="1" applyAlignment="1">
      <alignment vertical="center"/>
    </xf>
    <xf numFmtId="0" fontId="33" fillId="0" borderId="155" xfId="9" applyFont="1" applyBorder="1"/>
    <xf numFmtId="0" fontId="15" fillId="8" borderId="30" xfId="0" applyFont="1" applyFill="1" applyBorder="1"/>
    <xf numFmtId="0" fontId="3" fillId="8" borderId="151" xfId="0" applyFont="1" applyFill="1" applyBorder="1" applyAlignment="1">
      <alignment horizontal="left"/>
    </xf>
    <xf numFmtId="0" fontId="11" fillId="8" borderId="101" xfId="0" applyFont="1" applyFill="1" applyBorder="1" applyAlignment="1">
      <alignment horizontal="center"/>
    </xf>
    <xf numFmtId="3" fontId="3" fillId="8" borderId="144" xfId="0" applyNumberFormat="1" applyFont="1" applyFill="1" applyBorder="1"/>
    <xf numFmtId="164" fontId="41" fillId="6" borderId="3" xfId="25" applyNumberFormat="1" applyFill="1" applyBorder="1" applyAlignment="1">
      <alignment horizontal="right" vertical="top"/>
    </xf>
    <xf numFmtId="164" fontId="48" fillId="6" borderId="154" xfId="25" applyNumberFormat="1" applyFont="1" applyFill="1" applyBorder="1" applyAlignment="1">
      <alignment horizontal="right" vertical="top"/>
    </xf>
    <xf numFmtId="0" fontId="96" fillId="6" borderId="154" xfId="23" applyFont="1" applyFill="1" applyBorder="1" applyAlignment="1">
      <alignment vertical="top"/>
    </xf>
    <xf numFmtId="164" fontId="15" fillId="6" borderId="154" xfId="25" applyNumberFormat="1" applyFont="1" applyFill="1" applyBorder="1" applyAlignment="1">
      <alignment vertical="top"/>
    </xf>
    <xf numFmtId="164" fontId="15" fillId="6" borderId="62" xfId="25" applyNumberFormat="1" applyFont="1" applyFill="1" applyBorder="1" applyAlignment="1">
      <alignment vertical="top"/>
    </xf>
    <xf numFmtId="167" fontId="124" fillId="0" borderId="0" xfId="9" applyNumberFormat="1" applyFont="1"/>
    <xf numFmtId="164" fontId="41" fillId="0" borderId="0" xfId="25" applyNumberFormat="1" applyAlignment="1">
      <alignment vertical="center"/>
    </xf>
    <xf numFmtId="164" fontId="41" fillId="0" borderId="0" xfId="25" applyNumberFormat="1" applyAlignment="1">
      <alignment horizontal="center" vertical="center"/>
    </xf>
    <xf numFmtId="0" fontId="96" fillId="6" borderId="12" xfId="23" applyFont="1" applyFill="1" applyBorder="1" applyAlignment="1">
      <alignment horizontal="centerContinuous" readingOrder="1"/>
    </xf>
    <xf numFmtId="0" fontId="95" fillId="6" borderId="0" xfId="23" applyFont="1" applyFill="1" applyAlignment="1">
      <alignment horizontal="centerContinuous" readingOrder="1"/>
    </xf>
    <xf numFmtId="164" fontId="15" fillId="6" borderId="0" xfId="25" applyNumberFormat="1" applyFont="1" applyFill="1" applyAlignment="1">
      <alignment horizontal="centerContinuous" vertical="center" readingOrder="1"/>
    </xf>
    <xf numFmtId="164" fontId="15" fillId="6" borderId="30" xfId="25" applyNumberFormat="1" applyFont="1" applyFill="1" applyBorder="1" applyAlignment="1">
      <alignment horizontal="centerContinuous" vertical="center" readingOrder="1"/>
    </xf>
    <xf numFmtId="167" fontId="41" fillId="0" borderId="0" xfId="25" applyNumberFormat="1" applyAlignment="1">
      <alignment vertical="center"/>
    </xf>
    <xf numFmtId="167" fontId="41" fillId="0" borderId="0" xfId="25" applyNumberFormat="1" applyAlignment="1">
      <alignment horizontal="center" vertical="center"/>
    </xf>
    <xf numFmtId="164" fontId="41" fillId="0" borderId="0" xfId="25" applyNumberFormat="1" applyAlignment="1">
      <alignment vertical="top"/>
    </xf>
    <xf numFmtId="164" fontId="41" fillId="6" borderId="151" xfId="25" applyNumberFormat="1" applyFill="1" applyBorder="1" applyAlignment="1">
      <alignment horizontal="right" vertical="top"/>
    </xf>
    <xf numFmtId="164" fontId="48" fillId="6" borderId="101" xfId="25" applyNumberFormat="1" applyFont="1" applyFill="1" applyBorder="1" applyAlignment="1">
      <alignment horizontal="right" vertical="top"/>
    </xf>
    <xf numFmtId="0" fontId="96" fillId="6" borderId="101" xfId="23" applyFont="1" applyFill="1" applyBorder="1" applyAlignment="1">
      <alignment vertical="top"/>
    </xf>
    <xf numFmtId="164" fontId="15" fillId="6" borderId="101" xfId="25" applyNumberFormat="1" applyFont="1" applyFill="1" applyBorder="1" applyAlignment="1">
      <alignment vertical="top"/>
    </xf>
    <xf numFmtId="164" fontId="15" fillId="6" borderId="144" xfId="25" applyNumberFormat="1" applyFont="1" applyFill="1" applyBorder="1" applyAlignment="1">
      <alignment vertical="top"/>
    </xf>
    <xf numFmtId="164" fontId="37" fillId="0" borderId="135" xfId="25" applyNumberFormat="1" applyFont="1" applyBorder="1" applyAlignment="1">
      <alignment horizontal="center" vertical="center" wrapText="1"/>
    </xf>
    <xf numFmtId="164" fontId="42" fillId="0" borderId="0" xfId="25" applyNumberFormat="1" applyFont="1" applyAlignment="1">
      <alignment vertical="center"/>
    </xf>
    <xf numFmtId="164" fontId="42" fillId="0" borderId="0" xfId="25" applyNumberFormat="1" applyFont="1" applyAlignment="1">
      <alignment horizontal="center" vertical="center"/>
    </xf>
    <xf numFmtId="164" fontId="42" fillId="0" borderId="0" xfId="25" applyNumberFormat="1" applyFont="1" applyAlignment="1">
      <alignment horizontal="right" vertical="center"/>
    </xf>
    <xf numFmtId="164" fontId="46" fillId="0" borderId="0" xfId="25" applyNumberFormat="1" applyFont="1" applyAlignment="1">
      <alignment horizontal="right" vertical="center"/>
    </xf>
    <xf numFmtId="164" fontId="43" fillId="0" borderId="0" xfId="25" applyNumberFormat="1" applyFont="1" applyAlignment="1">
      <alignment vertical="center"/>
    </xf>
    <xf numFmtId="164" fontId="44" fillId="0" borderId="0" xfId="25" applyNumberFormat="1" applyFont="1" applyAlignment="1">
      <alignment horizontal="center" vertical="center" wrapText="1"/>
    </xf>
    <xf numFmtId="164" fontId="56" fillId="0" borderId="0" xfId="25" applyNumberFormat="1" applyFont="1" applyAlignment="1">
      <alignment horizontal="centerContinuous" vertical="center"/>
    </xf>
    <xf numFmtId="164" fontId="6" fillId="0" borderId="0" xfId="25" applyNumberFormat="1" applyFont="1" applyAlignment="1">
      <alignment horizontal="centerContinuous" vertical="center"/>
    </xf>
    <xf numFmtId="164" fontId="42" fillId="0" borderId="0" xfId="25" applyNumberFormat="1" applyFont="1" applyAlignment="1">
      <alignment horizontal="centerContinuous" vertical="center"/>
    </xf>
    <xf numFmtId="14" fontId="42" fillId="0" borderId="0" xfId="25" applyNumberFormat="1" applyFont="1" applyAlignment="1">
      <alignment vertical="center"/>
    </xf>
    <xf numFmtId="164" fontId="48" fillId="0" borderId="0" xfId="25" applyNumberFormat="1" applyFont="1" applyAlignment="1">
      <alignment horizontal="right" vertical="center"/>
    </xf>
    <xf numFmtId="164" fontId="44" fillId="9" borderId="25" xfId="25" applyNumberFormat="1" applyFont="1" applyFill="1" applyBorder="1" applyAlignment="1">
      <alignment horizontal="center" vertical="center"/>
    </xf>
    <xf numFmtId="164" fontId="44" fillId="0" borderId="0" xfId="25" applyNumberFormat="1" applyFont="1" applyAlignment="1">
      <alignment vertical="center"/>
    </xf>
    <xf numFmtId="164" fontId="44" fillId="0" borderId="0" xfId="25" applyNumberFormat="1" applyFont="1" applyAlignment="1">
      <alignment horizontal="center" vertical="center"/>
    </xf>
    <xf numFmtId="0" fontId="125" fillId="0" borderId="0" xfId="13" applyFont="1" applyAlignment="1">
      <alignment horizontal="center" vertical="center"/>
    </xf>
    <xf numFmtId="0" fontId="97" fillId="15" borderId="0" xfId="9" applyFont="1" applyFill="1" applyAlignment="1">
      <alignment horizontal="centerContinuous" vertical="center"/>
    </xf>
    <xf numFmtId="0" fontId="98" fillId="15" borderId="0" xfId="9" applyFont="1" applyFill="1" applyAlignment="1">
      <alignment horizontal="center" vertical="center"/>
    </xf>
    <xf numFmtId="0" fontId="99" fillId="15" borderId="0" xfId="9" applyFont="1" applyFill="1" applyAlignment="1">
      <alignment horizontal="centerContinuous" vertical="center"/>
    </xf>
    <xf numFmtId="0" fontId="110" fillId="0" borderId="0" xfId="13" applyFont="1" applyAlignment="1">
      <alignment horizontal="center" vertical="center"/>
    </xf>
    <xf numFmtId="0" fontId="116" fillId="0" borderId="0" xfId="13" applyFont="1" applyAlignment="1">
      <alignment vertical="center"/>
    </xf>
    <xf numFmtId="0" fontId="96" fillId="6" borderId="0" xfId="23" applyFont="1" applyFill="1" applyAlignment="1">
      <alignment horizontal="centerContinuous"/>
    </xf>
    <xf numFmtId="164" fontId="15" fillId="6" borderId="0" xfId="25" applyNumberFormat="1" applyFont="1" applyFill="1" applyAlignment="1">
      <alignment horizontal="centerContinuous" vertical="center"/>
    </xf>
    <xf numFmtId="164" fontId="15" fillId="6" borderId="30" xfId="25" applyNumberFormat="1" applyFont="1" applyFill="1" applyBorder="1" applyAlignment="1">
      <alignment horizontal="centerContinuous" vertical="center"/>
    </xf>
    <xf numFmtId="0" fontId="93" fillId="0" borderId="0" xfId="0" applyFont="1" applyAlignment="1">
      <alignment horizontal="left" vertical="top"/>
    </xf>
    <xf numFmtId="0" fontId="2" fillId="0" borderId="87" xfId="0" applyFont="1" applyBorder="1" applyAlignment="1">
      <alignment horizontal="centerContinuous" vertical="center"/>
    </xf>
    <xf numFmtId="0" fontId="23" fillId="0" borderId="0" xfId="0" applyFont="1" applyAlignment="1">
      <alignment vertical="top"/>
    </xf>
    <xf numFmtId="0" fontId="108" fillId="10" borderId="0" xfId="0" applyFont="1" applyFill="1" applyAlignment="1">
      <alignment wrapText="1"/>
    </xf>
    <xf numFmtId="0" fontId="108" fillId="10" borderId="0" xfId="0" applyFont="1" applyFill="1"/>
    <xf numFmtId="0" fontId="126" fillId="10" borderId="0" xfId="9" applyFont="1" applyFill="1" applyAlignment="1">
      <alignment horizontal="center" vertical="center"/>
    </xf>
    <xf numFmtId="0" fontId="3" fillId="0" borderId="3" xfId="0" applyFont="1" applyBorder="1"/>
    <xf numFmtId="173" fontId="2" fillId="0" borderId="87" xfId="0" applyNumberFormat="1" applyFont="1" applyBorder="1" applyAlignment="1">
      <alignment horizontal="centerContinuous" vertical="center" wrapText="1"/>
    </xf>
    <xf numFmtId="0" fontId="26" fillId="0" borderId="104" xfId="0" applyFont="1" applyBorder="1" applyAlignment="1">
      <alignment horizontal="center" vertical="center" wrapText="1"/>
    </xf>
    <xf numFmtId="0" fontId="100" fillId="0" borderId="0" xfId="9" applyFont="1" applyAlignment="1">
      <alignment horizontal="centerContinuous" vertical="center" wrapText="1"/>
    </xf>
    <xf numFmtId="0" fontId="0" fillId="0" borderId="0" xfId="0" applyAlignment="1">
      <alignment horizontal="centerContinuous" vertical="center" wrapText="1"/>
    </xf>
    <xf numFmtId="0" fontId="105" fillId="0" borderId="0" xfId="0" applyFont="1" applyAlignment="1">
      <alignment horizontal="center" vertical="center"/>
    </xf>
    <xf numFmtId="0" fontId="5" fillId="0" borderId="101" xfId="0" applyFont="1" applyBorder="1" applyAlignment="1">
      <alignment vertical="center" wrapText="1"/>
    </xf>
    <xf numFmtId="0" fontId="120" fillId="0" borderId="0" xfId="0" applyFont="1" applyAlignment="1">
      <alignment horizontal="center" vertical="center"/>
    </xf>
    <xf numFmtId="0" fontId="2" fillId="0" borderId="5" xfId="0" applyFont="1" applyBorder="1" applyAlignment="1">
      <alignment horizontal="centerContinuous" vertical="center"/>
    </xf>
    <xf numFmtId="0" fontId="3" fillId="0" borderId="64" xfId="0" applyFont="1" applyBorder="1" applyAlignment="1">
      <alignment horizontal="centerContinuous" vertical="center"/>
    </xf>
    <xf numFmtId="0" fontId="28" fillId="0" borderId="12" xfId="0" applyFont="1" applyBorder="1" applyAlignment="1">
      <alignment horizontal="center" vertical="center"/>
    </xf>
    <xf numFmtId="0" fontId="6" fillId="0" borderId="13" xfId="0" applyFont="1" applyBorder="1" applyAlignment="1">
      <alignment horizontal="center" vertical="center" wrapText="1"/>
    </xf>
    <xf numFmtId="0" fontId="6" fillId="0" borderId="24" xfId="0" applyFont="1" applyBorder="1" applyAlignment="1">
      <alignment horizontal="centerContinuous" vertical="center" wrapText="1"/>
    </xf>
    <xf numFmtId="0" fontId="6" fillId="0" borderId="125" xfId="0" applyFont="1" applyBorder="1" applyAlignment="1">
      <alignment horizontal="centerContinuous" vertical="center"/>
    </xf>
    <xf numFmtId="0" fontId="6" fillId="0" borderId="31" xfId="0" applyFont="1" applyBorder="1" applyAlignment="1">
      <alignment horizontal="centerContinuous" vertical="center"/>
    </xf>
    <xf numFmtId="0" fontId="3" fillId="0" borderId="83" xfId="0" applyFont="1" applyBorder="1" applyAlignment="1">
      <alignment horizontal="centerContinuous"/>
    </xf>
    <xf numFmtId="0" fontId="11" fillId="0" borderId="20" xfId="0" applyFont="1" applyBorder="1" applyAlignment="1">
      <alignment horizontal="center"/>
    </xf>
    <xf numFmtId="0" fontId="12" fillId="0" borderId="16" xfId="0" applyFont="1" applyBorder="1" applyAlignment="1">
      <alignment horizontal="center"/>
    </xf>
    <xf numFmtId="0" fontId="12" fillId="0" borderId="17" xfId="0" applyFont="1" applyBorder="1" applyAlignment="1">
      <alignment horizontal="center"/>
    </xf>
    <xf numFmtId="0" fontId="12" fillId="0" borderId="30" xfId="0" applyFont="1" applyBorder="1" applyAlignment="1">
      <alignment horizontal="center"/>
    </xf>
    <xf numFmtId="0" fontId="4" fillId="0" borderId="28" xfId="0" applyFont="1" applyBorder="1" applyAlignment="1">
      <alignment horizontal="left"/>
    </xf>
    <xf numFmtId="0" fontId="33" fillId="0" borderId="13" xfId="0" applyFont="1" applyBorder="1" applyAlignment="1">
      <alignment horizontal="center"/>
    </xf>
    <xf numFmtId="2" fontId="3" fillId="0" borderId="89" xfId="5" applyNumberFormat="1" applyFont="1" applyFill="1" applyBorder="1" applyAlignment="1" applyProtection="1">
      <protection locked="0"/>
    </xf>
    <xf numFmtId="2" fontId="3" fillId="0" borderId="63" xfId="5" applyNumberFormat="1" applyFont="1" applyFill="1" applyBorder="1" applyAlignment="1" applyProtection="1">
      <protection locked="0"/>
    </xf>
    <xf numFmtId="2" fontId="3" fillId="0" borderId="56" xfId="5" applyNumberFormat="1" applyFont="1" applyFill="1" applyBorder="1" applyAlignment="1" applyProtection="1">
      <protection locked="0"/>
    </xf>
    <xf numFmtId="0" fontId="33" fillId="0" borderId="48" xfId="0" applyFont="1" applyBorder="1" applyAlignment="1">
      <alignment horizontal="center"/>
    </xf>
    <xf numFmtId="2" fontId="3" fillId="0" borderId="16" xfId="5" applyNumberFormat="1" applyFont="1" applyFill="1" applyBorder="1" applyAlignment="1" applyProtection="1">
      <protection locked="0"/>
    </xf>
    <xf numFmtId="2" fontId="3" fillId="0" borderId="35" xfId="5" applyNumberFormat="1" applyFont="1" applyFill="1" applyBorder="1" applyAlignment="1" applyProtection="1">
      <protection locked="0"/>
    </xf>
    <xf numFmtId="2" fontId="3" fillId="0" borderId="76" xfId="5" applyNumberFormat="1" applyFont="1" applyFill="1" applyBorder="1" applyAlignment="1" applyProtection="1">
      <protection locked="0"/>
    </xf>
    <xf numFmtId="2" fontId="3" fillId="0" borderId="67" xfId="5" applyNumberFormat="1" applyFont="1" applyFill="1" applyBorder="1" applyAlignment="1" applyProtection="1">
      <protection locked="0"/>
    </xf>
    <xf numFmtId="0" fontId="6" fillId="0" borderId="151" xfId="0" applyFont="1" applyBorder="1" applyAlignment="1">
      <alignment horizontal="right" vertical="center"/>
    </xf>
    <xf numFmtId="40" fontId="3" fillId="0" borderId="92" xfId="5" applyFont="1" applyFill="1" applyBorder="1" applyAlignment="1"/>
    <xf numFmtId="40" fontId="3" fillId="0" borderId="93" xfId="5" applyFont="1" applyFill="1" applyBorder="1" applyAlignment="1"/>
    <xf numFmtId="40" fontId="3" fillId="0" borderId="94" xfId="5" applyFont="1" applyFill="1" applyBorder="1" applyAlignment="1"/>
    <xf numFmtId="0" fontId="15" fillId="0" borderId="0" xfId="0" applyFont="1"/>
    <xf numFmtId="0" fontId="9" fillId="0" borderId="0" xfId="0" applyFont="1" applyAlignment="1">
      <alignment vertical="top"/>
    </xf>
    <xf numFmtId="0" fontId="3" fillId="0" borderId="101" xfId="0" applyFont="1" applyBorder="1" applyAlignment="1">
      <alignment horizontal="centerContinuous" vertical="center"/>
    </xf>
    <xf numFmtId="0" fontId="3" fillId="0" borderId="157" xfId="0" applyFont="1" applyBorder="1" applyAlignment="1">
      <alignment horizontal="centerContinuous" vertical="center"/>
    </xf>
    <xf numFmtId="168" fontId="3" fillId="0" borderId="89" xfId="5" applyNumberFormat="1" applyFont="1" applyFill="1" applyBorder="1" applyAlignment="1" applyProtection="1">
      <protection locked="0"/>
    </xf>
    <xf numFmtId="168" fontId="3" fillId="0" borderId="56" xfId="5" applyNumberFormat="1" applyFont="1" applyFill="1" applyBorder="1" applyAlignment="1" applyProtection="1">
      <protection locked="0"/>
    </xf>
    <xf numFmtId="0" fontId="3" fillId="0" borderId="89" xfId="5" applyNumberFormat="1" applyFont="1" applyFill="1" applyBorder="1" applyAlignment="1" applyProtection="1">
      <protection locked="0"/>
    </xf>
    <xf numFmtId="0" fontId="3" fillId="0" borderId="56" xfId="5" applyNumberFormat="1" applyFont="1" applyFill="1" applyBorder="1" applyAlignment="1" applyProtection="1">
      <protection locked="0"/>
    </xf>
    <xf numFmtId="168" fontId="3" fillId="0" borderId="16" xfId="5" applyNumberFormat="1" applyFont="1" applyFill="1" applyBorder="1" applyAlignment="1" applyProtection="1">
      <protection locked="0"/>
    </xf>
    <xf numFmtId="168" fontId="3" fillId="0" borderId="76" xfId="5" applyNumberFormat="1" applyFont="1" applyFill="1" applyBorder="1" applyAlignment="1" applyProtection="1">
      <protection locked="0"/>
    </xf>
    <xf numFmtId="0" fontId="3" fillId="0" borderId="16" xfId="5" applyNumberFormat="1" applyFont="1" applyFill="1" applyBorder="1" applyAlignment="1" applyProtection="1">
      <protection locked="0"/>
    </xf>
    <xf numFmtId="0" fontId="3" fillId="0" borderId="76" xfId="5" applyNumberFormat="1" applyFont="1" applyFill="1" applyBorder="1" applyAlignment="1" applyProtection="1">
      <protection locked="0"/>
    </xf>
    <xf numFmtId="168" fontId="3" fillId="0" borderId="67" xfId="5" applyNumberFormat="1" applyFont="1" applyFill="1" applyBorder="1" applyAlignment="1" applyProtection="1">
      <protection locked="0"/>
    </xf>
    <xf numFmtId="0" fontId="3" fillId="0" borderId="67" xfId="5" applyNumberFormat="1" applyFont="1" applyFill="1" applyBorder="1" applyAlignment="1" applyProtection="1">
      <protection locked="0"/>
    </xf>
    <xf numFmtId="38" fontId="3" fillId="0" borderId="92" xfId="5" applyNumberFormat="1" applyFont="1" applyFill="1" applyBorder="1" applyAlignment="1"/>
    <xf numFmtId="38" fontId="3" fillId="0" borderId="94" xfId="5" applyNumberFormat="1" applyFont="1" applyFill="1" applyBorder="1" applyAlignment="1"/>
    <xf numFmtId="0" fontId="65" fillId="0" borderId="0" xfId="24" applyNumberFormat="1" applyFont="1" applyAlignment="1">
      <alignment horizontal="center" vertical="center" wrapText="1"/>
    </xf>
    <xf numFmtId="0" fontId="120" fillId="0" borderId="0" xfId="0" applyFont="1" applyAlignment="1" applyProtection="1">
      <alignment horizontal="center" vertical="center"/>
      <protection locked="0"/>
    </xf>
    <xf numFmtId="0" fontId="12" fillId="0" borderId="32" xfId="21" applyFont="1" applyBorder="1" applyAlignment="1">
      <alignment horizontal="center"/>
    </xf>
    <xf numFmtId="0" fontId="12" fillId="0" borderId="109" xfId="27" applyFont="1" applyBorder="1" applyAlignment="1">
      <alignment horizontal="center"/>
    </xf>
    <xf numFmtId="170" fontId="6" fillId="0" borderId="29" xfId="8" applyNumberFormat="1" applyFont="1" applyBorder="1" applyProtection="1"/>
    <xf numFmtId="170" fontId="6" fillId="0" borderId="14" xfId="8" applyNumberFormat="1" applyFont="1" applyFill="1" applyBorder="1" applyAlignment="1" applyProtection="1">
      <alignment horizontal="center"/>
    </xf>
    <xf numFmtId="0" fontId="12" fillId="0" borderId="28" xfId="21" applyFont="1" applyBorder="1" applyAlignment="1">
      <alignment horizontal="center"/>
    </xf>
    <xf numFmtId="169" fontId="3" fillId="0" borderId="28" xfId="8" applyNumberFormat="1" applyFont="1" applyFill="1" applyBorder="1" applyAlignment="1" applyProtection="1">
      <alignment horizontal="center"/>
      <protection locked="0"/>
    </xf>
    <xf numFmtId="0" fontId="12" fillId="0" borderId="37" xfId="27" applyFont="1" applyBorder="1" applyAlignment="1">
      <alignment horizontal="center"/>
    </xf>
    <xf numFmtId="0" fontId="12" fillId="0" borderId="76" xfId="27" applyFont="1" applyBorder="1" applyAlignment="1">
      <alignment horizontal="center"/>
    </xf>
    <xf numFmtId="0" fontId="15" fillId="0" borderId="25" xfId="0" applyFont="1" applyBorder="1" applyAlignment="1">
      <alignment horizontal="center"/>
    </xf>
    <xf numFmtId="0" fontId="6" fillId="11" borderId="82" xfId="0" applyFont="1" applyFill="1" applyBorder="1" applyAlignment="1">
      <alignment horizontal="center" vertical="center"/>
    </xf>
    <xf numFmtId="0" fontId="6" fillId="11" borderId="133" xfId="0" applyFont="1" applyFill="1" applyBorder="1" applyAlignment="1">
      <alignment horizontal="center" vertical="center" wrapText="1"/>
    </xf>
    <xf numFmtId="0" fontId="6" fillId="11" borderId="134" xfId="0" applyFont="1" applyFill="1" applyBorder="1" applyAlignment="1">
      <alignment horizontal="center" vertical="center" wrapText="1"/>
    </xf>
    <xf numFmtId="0" fontId="23" fillId="0" borderId="61" xfId="0" applyFont="1" applyBorder="1" applyAlignment="1">
      <alignment horizontal="center" vertical="center" wrapText="1"/>
    </xf>
    <xf numFmtId="3" fontId="23" fillId="0" borderId="143" xfId="0" applyNumberFormat="1" applyFont="1" applyBorder="1" applyAlignment="1">
      <alignment vertical="center"/>
    </xf>
    <xf numFmtId="0" fontId="9" fillId="11" borderId="152" xfId="0" applyFont="1" applyFill="1" applyBorder="1" applyAlignment="1">
      <alignment horizontal="center" vertical="center" wrapText="1"/>
    </xf>
    <xf numFmtId="3" fontId="15" fillId="0" borderId="25" xfId="0" applyNumberFormat="1" applyFont="1" applyBorder="1" applyProtection="1">
      <protection locked="0"/>
    </xf>
    <xf numFmtId="0" fontId="6" fillId="11" borderId="25" xfId="0" applyFont="1" applyFill="1" applyBorder="1" applyAlignment="1">
      <alignment horizontal="center" vertical="center" wrapText="1"/>
    </xf>
    <xf numFmtId="0" fontId="3" fillId="0" borderId="105" xfId="0" applyFont="1" applyBorder="1" applyAlignment="1">
      <alignment horizontal="justify" wrapText="1"/>
    </xf>
    <xf numFmtId="3" fontId="15" fillId="0" borderId="106" xfId="0" applyNumberFormat="1" applyFont="1" applyBorder="1" applyAlignment="1">
      <alignment vertical="center"/>
    </xf>
    <xf numFmtId="0" fontId="15" fillId="0" borderId="56" xfId="0" applyFont="1" applyBorder="1" applyAlignment="1" applyProtection="1">
      <alignment wrapText="1"/>
      <protection locked="0"/>
    </xf>
    <xf numFmtId="0" fontId="6" fillId="11" borderId="56" xfId="0" applyFont="1" applyFill="1" applyBorder="1" applyAlignment="1">
      <alignment horizontal="center" vertical="center" wrapText="1"/>
    </xf>
    <xf numFmtId="0" fontId="15" fillId="0" borderId="137" xfId="0" applyFont="1" applyBorder="1" applyAlignment="1" applyProtection="1">
      <alignment wrapText="1"/>
      <protection locked="0"/>
    </xf>
    <xf numFmtId="40" fontId="50" fillId="0" borderId="25" xfId="5" applyFont="1" applyBorder="1" applyAlignment="1">
      <alignment horizontal="center"/>
    </xf>
    <xf numFmtId="0" fontId="15" fillId="12" borderId="3" xfId="27" applyFill="1" applyBorder="1"/>
    <xf numFmtId="0" fontId="15" fillId="12" borderId="62" xfId="27" applyFill="1" applyBorder="1"/>
    <xf numFmtId="0" fontId="12" fillId="0" borderId="82" xfId="21" applyFont="1" applyBorder="1" applyAlignment="1">
      <alignment horizontal="center"/>
    </xf>
    <xf numFmtId="0" fontId="12" fillId="0" borderId="134" xfId="27" applyFont="1" applyBorder="1" applyAlignment="1">
      <alignment horizontal="center"/>
    </xf>
    <xf numFmtId="3" fontId="10" fillId="0" borderId="61" xfId="21" applyNumberFormat="1" applyFont="1" applyBorder="1" applyAlignment="1">
      <alignment horizontal="center"/>
    </xf>
    <xf numFmtId="3" fontId="10" fillId="0" borderId="152" xfId="21" applyNumberFormat="1" applyFont="1" applyBorder="1" applyAlignment="1">
      <alignment horizontal="center"/>
    </xf>
    <xf numFmtId="3" fontId="3" fillId="5" borderId="105" xfId="0" applyNumberFormat="1" applyFont="1" applyFill="1" applyBorder="1" applyAlignment="1">
      <alignment horizontal="center"/>
    </xf>
    <xf numFmtId="3" fontId="3" fillId="5" borderId="19" xfId="0" applyNumberFormat="1" applyFont="1" applyFill="1" applyBorder="1" applyAlignment="1">
      <alignment horizontal="center"/>
    </xf>
    <xf numFmtId="3" fontId="3" fillId="5" borderId="10" xfId="0" applyNumberFormat="1" applyFont="1" applyFill="1" applyBorder="1" applyAlignment="1">
      <alignment horizontal="center"/>
    </xf>
    <xf numFmtId="3" fontId="3" fillId="5" borderId="54" xfId="0" applyNumberFormat="1" applyFont="1" applyFill="1" applyBorder="1" applyAlignment="1">
      <alignment horizontal="center"/>
    </xf>
    <xf numFmtId="3" fontId="3" fillId="5" borderId="61" xfId="0" applyNumberFormat="1" applyFont="1" applyFill="1" applyBorder="1" applyAlignment="1">
      <alignment horizontal="center"/>
    </xf>
    <xf numFmtId="3" fontId="3" fillId="5" borderId="144" xfId="0" applyNumberFormat="1" applyFont="1" applyFill="1" applyBorder="1" applyAlignment="1">
      <alignment horizontal="center"/>
    </xf>
    <xf numFmtId="0" fontId="37" fillId="0" borderId="135" xfId="9" applyFont="1" applyBorder="1" applyAlignment="1">
      <alignment horizontal="center" vertical="center" wrapText="1"/>
    </xf>
    <xf numFmtId="173" fontId="26" fillId="0" borderId="147" xfId="0" applyNumberFormat="1" applyFont="1" applyBorder="1" applyAlignment="1">
      <alignment horizontal="centerContinuous" vertical="center" wrapText="1"/>
    </xf>
    <xf numFmtId="164" fontId="131" fillId="0" borderId="0" xfId="24" applyFont="1" applyAlignment="1">
      <alignment vertical="center"/>
    </xf>
    <xf numFmtId="164" fontId="130" fillId="0" borderId="0" xfId="24" applyFont="1" applyAlignment="1">
      <alignment vertical="center"/>
    </xf>
    <xf numFmtId="0" fontId="3" fillId="0" borderId="24" xfId="0" applyFont="1" applyBorder="1" applyAlignment="1">
      <alignment horizontal="centerContinuous" vertical="center" wrapText="1"/>
    </xf>
    <xf numFmtId="169" fontId="3" fillId="15" borderId="25" xfId="8" applyNumberFormat="1" applyFont="1" applyFill="1" applyBorder="1" applyProtection="1"/>
    <xf numFmtId="169" fontId="3" fillId="15" borderId="48" xfId="8" applyNumberFormat="1" applyFont="1" applyFill="1" applyBorder="1" applyProtection="1"/>
    <xf numFmtId="169" fontId="3" fillId="15" borderId="56" xfId="8" applyNumberFormat="1" applyFont="1" applyFill="1" applyBorder="1" applyProtection="1"/>
    <xf numFmtId="49" fontId="15" fillId="0" borderId="48" xfId="20" applyNumberFormat="1" applyFont="1" applyBorder="1" applyAlignment="1" applyProtection="1">
      <alignment horizontal="left" vertical="center"/>
      <protection locked="0"/>
    </xf>
    <xf numFmtId="49" fontId="15" fillId="0" borderId="123" xfId="20" applyNumberFormat="1" applyFont="1" applyBorder="1" applyAlignment="1" applyProtection="1">
      <alignment horizontal="left" vertical="center"/>
      <protection locked="0"/>
    </xf>
    <xf numFmtId="49" fontId="15" fillId="0" borderId="71" xfId="20" applyNumberFormat="1" applyFont="1" applyBorder="1" applyAlignment="1" applyProtection="1">
      <alignment horizontal="left" vertical="center"/>
      <protection locked="0"/>
    </xf>
    <xf numFmtId="49" fontId="8" fillId="0" borderId="48" xfId="1" applyNumberFormat="1" applyFill="1" applyBorder="1" applyAlignment="1" applyProtection="1">
      <alignment horizontal="left" vertical="center"/>
      <protection locked="0"/>
    </xf>
    <xf numFmtId="49" fontId="15" fillId="0" borderId="48" xfId="0" applyNumberFormat="1" applyFont="1" applyBorder="1" applyAlignment="1" applyProtection="1">
      <alignment horizontal="left" vertical="center"/>
      <protection locked="0"/>
    </xf>
    <xf numFmtId="49" fontId="24" fillId="0" borderId="71" xfId="0" applyNumberFormat="1" applyFont="1" applyBorder="1" applyAlignment="1" applyProtection="1">
      <alignment horizontal="left" vertical="center"/>
      <protection locked="0"/>
    </xf>
    <xf numFmtId="164" fontId="9" fillId="0" borderId="0" xfId="24" applyFont="1" applyAlignment="1">
      <alignment horizontal="left" vertical="center" wrapText="1"/>
    </xf>
    <xf numFmtId="164" fontId="9" fillId="0" borderId="120" xfId="24" applyFont="1" applyBorder="1" applyAlignment="1">
      <alignment horizontal="left" vertical="center" wrapText="1"/>
    </xf>
    <xf numFmtId="49" fontId="86" fillId="5" borderId="48" xfId="1" applyNumberFormat="1" applyFont="1" applyFill="1" applyBorder="1" applyAlignment="1" applyProtection="1">
      <alignment vertical="center"/>
      <protection locked="0"/>
    </xf>
    <xf numFmtId="49" fontId="15" fillId="5" borderId="123" xfId="0" applyNumberFormat="1" applyFont="1" applyFill="1" applyBorder="1" applyAlignment="1" applyProtection="1">
      <alignment vertical="center"/>
      <protection locked="0"/>
    </xf>
    <xf numFmtId="49" fontId="15" fillId="5" borderId="71" xfId="0" applyNumberFormat="1" applyFont="1" applyFill="1" applyBorder="1" applyAlignment="1" applyProtection="1">
      <alignment vertical="center"/>
      <protection locked="0"/>
    </xf>
    <xf numFmtId="0" fontId="79" fillId="6" borderId="48" xfId="0" applyFont="1" applyFill="1" applyBorder="1" applyAlignment="1">
      <alignment horizontal="center" vertical="center" readingOrder="1"/>
    </xf>
    <xf numFmtId="0" fontId="79" fillId="6" borderId="123" xfId="0" applyFont="1" applyFill="1" applyBorder="1" applyAlignment="1">
      <alignment horizontal="center" vertical="center" readingOrder="1"/>
    </xf>
    <xf numFmtId="0" fontId="79" fillId="6" borderId="71" xfId="0" applyFont="1" applyFill="1" applyBorder="1" applyAlignment="1">
      <alignment horizontal="center" vertical="center" readingOrder="1"/>
    </xf>
    <xf numFmtId="49" fontId="24" fillId="0" borderId="48" xfId="0" applyNumberFormat="1" applyFont="1" applyBorder="1" applyAlignment="1" applyProtection="1">
      <alignment horizontal="left" vertical="center"/>
      <protection locked="0"/>
    </xf>
    <xf numFmtId="164" fontId="44" fillId="0" borderId="0" xfId="24" applyFont="1" applyAlignment="1">
      <alignment horizontal="left" vertical="center"/>
    </xf>
    <xf numFmtId="49" fontId="15" fillId="7" borderId="48" xfId="20" applyNumberFormat="1" applyFont="1" applyFill="1" applyBorder="1" applyAlignment="1" applyProtection="1">
      <alignment horizontal="left" vertical="center"/>
      <protection locked="0"/>
    </xf>
    <xf numFmtId="49" fontId="15" fillId="7" borderId="123" xfId="20" applyNumberFormat="1" applyFont="1" applyFill="1" applyBorder="1" applyAlignment="1" applyProtection="1">
      <alignment horizontal="left" vertical="center"/>
      <protection locked="0"/>
    </xf>
    <xf numFmtId="49" fontId="15" fillId="7" borderId="71" xfId="20" applyNumberFormat="1" applyFont="1" applyFill="1" applyBorder="1" applyAlignment="1" applyProtection="1">
      <alignment horizontal="left" vertical="center"/>
      <protection locked="0"/>
    </xf>
    <xf numFmtId="164" fontId="44" fillId="0" borderId="0" xfId="24" applyFont="1" applyAlignment="1">
      <alignment horizontal="center" vertical="center"/>
    </xf>
    <xf numFmtId="164" fontId="23" fillId="0" borderId="0" xfId="24" applyFont="1" applyAlignment="1">
      <alignment horizontal="left" wrapText="1"/>
    </xf>
    <xf numFmtId="164" fontId="9" fillId="12" borderId="0" xfId="24" applyFont="1" applyFill="1" applyAlignment="1">
      <alignment horizontal="left" vertical="center" wrapText="1"/>
    </xf>
    <xf numFmtId="164" fontId="5" fillId="0" borderId="0" xfId="24" applyFont="1" applyAlignment="1">
      <alignment horizontal="left" wrapText="1"/>
    </xf>
    <xf numFmtId="164" fontId="22" fillId="0" borderId="0" xfId="24" applyFont="1" applyAlignment="1">
      <alignment horizontal="left" wrapText="1"/>
    </xf>
    <xf numFmtId="164" fontId="22" fillId="0" borderId="122" xfId="24" applyFont="1" applyBorder="1" applyAlignment="1">
      <alignment horizontal="left" wrapText="1"/>
    </xf>
    <xf numFmtId="0" fontId="75" fillId="6" borderId="48" xfId="0" applyFont="1" applyFill="1" applyBorder="1" applyAlignment="1">
      <alignment horizontal="center" vertical="center" wrapText="1" readingOrder="1"/>
    </xf>
    <xf numFmtId="0" fontId="75" fillId="6" borderId="123" xfId="0" applyFont="1" applyFill="1" applyBorder="1" applyAlignment="1">
      <alignment horizontal="center" vertical="center" wrapText="1" readingOrder="1"/>
    </xf>
    <xf numFmtId="0" fontId="75" fillId="6" borderId="71" xfId="0" applyFont="1" applyFill="1" applyBorder="1" applyAlignment="1">
      <alignment horizontal="center" vertical="center" wrapText="1" readingOrder="1"/>
    </xf>
    <xf numFmtId="49" fontId="24" fillId="0" borderId="145" xfId="20" applyNumberFormat="1" applyFont="1" applyBorder="1" applyAlignment="1" applyProtection="1">
      <alignment horizontal="left" vertical="center" wrapText="1"/>
      <protection locked="0"/>
    </xf>
    <xf numFmtId="49" fontId="24" fillId="0" borderId="122" xfId="20" applyNumberFormat="1" applyFont="1" applyBorder="1" applyAlignment="1" applyProtection="1">
      <alignment horizontal="left" vertical="center" wrapText="1"/>
      <protection locked="0"/>
    </xf>
    <xf numFmtId="49" fontId="24" fillId="0" borderId="158" xfId="20" applyNumberFormat="1" applyFont="1" applyBorder="1" applyAlignment="1" applyProtection="1">
      <alignment horizontal="left" vertical="center" wrapText="1"/>
      <protection locked="0"/>
    </xf>
    <xf numFmtId="49" fontId="24" fillId="0" borderId="13" xfId="20" applyNumberFormat="1" applyFont="1" applyBorder="1" applyAlignment="1" applyProtection="1">
      <alignment horizontal="left" vertical="center" wrapText="1"/>
      <protection locked="0"/>
    </xf>
    <xf numFmtId="49" fontId="24" fillId="0" borderId="0" xfId="20" applyNumberFormat="1" applyFont="1" applyAlignment="1" applyProtection="1">
      <alignment horizontal="left" vertical="center" wrapText="1"/>
      <protection locked="0"/>
    </xf>
    <xf numFmtId="49" fontId="24" fillId="0" borderId="120" xfId="20" applyNumberFormat="1" applyFont="1" applyBorder="1" applyAlignment="1" applyProtection="1">
      <alignment horizontal="left" vertical="center" wrapText="1"/>
      <protection locked="0"/>
    </xf>
    <xf numFmtId="49" fontId="24" fillId="0" borderId="44" xfId="20" applyNumberFormat="1" applyFont="1" applyBorder="1" applyAlignment="1" applyProtection="1">
      <alignment horizontal="left" vertical="center" wrapText="1"/>
      <protection locked="0"/>
    </xf>
    <xf numFmtId="49" fontId="24" fillId="0" borderId="64" xfId="20" applyNumberFormat="1" applyFont="1" applyBorder="1" applyAlignment="1" applyProtection="1">
      <alignment horizontal="left" vertical="center" wrapText="1"/>
      <protection locked="0"/>
    </xf>
    <xf numFmtId="49" fontId="24" fillId="0" borderId="66" xfId="20" applyNumberFormat="1" applyFont="1" applyBorder="1" applyAlignment="1" applyProtection="1">
      <alignment horizontal="left" vertical="center" wrapText="1"/>
      <protection locked="0"/>
    </xf>
    <xf numFmtId="49" fontId="15" fillId="7" borderId="48" xfId="24" applyNumberFormat="1" applyFont="1" applyFill="1" applyBorder="1" applyAlignment="1" applyProtection="1">
      <alignment horizontal="left" vertical="center"/>
      <protection locked="0"/>
    </xf>
    <xf numFmtId="49" fontId="15" fillId="7" borderId="71" xfId="24" applyNumberFormat="1" applyFont="1" applyFill="1" applyBorder="1" applyAlignment="1" applyProtection="1">
      <alignment horizontal="left" vertical="center"/>
      <protection locked="0"/>
    </xf>
    <xf numFmtId="49" fontId="15" fillId="0" borderId="48" xfId="24" applyNumberFormat="1" applyFont="1" applyBorder="1" applyAlignment="1" applyProtection="1">
      <alignment horizontal="left" vertical="center"/>
      <protection locked="0"/>
    </xf>
    <xf numFmtId="49" fontId="15" fillId="0" borderId="71" xfId="24" applyNumberFormat="1" applyFont="1" applyBorder="1" applyAlignment="1" applyProtection="1">
      <alignment horizontal="left" vertical="center"/>
      <protection locked="0"/>
    </xf>
    <xf numFmtId="0" fontId="5" fillId="0" borderId="146" xfId="0" applyFont="1" applyBorder="1" applyAlignment="1">
      <alignment horizontal="center" vertical="center"/>
    </xf>
    <xf numFmtId="0" fontId="5" fillId="0" borderId="147" xfId="0" applyFont="1" applyBorder="1" applyAlignment="1">
      <alignment horizontal="center" vertical="center"/>
    </xf>
    <xf numFmtId="0" fontId="5" fillId="0" borderId="87" xfId="0" applyFont="1" applyBorder="1" applyAlignment="1">
      <alignment horizontal="center" vertical="center"/>
    </xf>
    <xf numFmtId="0" fontId="5" fillId="0" borderId="7" xfId="0" applyFont="1" applyBorder="1" applyAlignment="1">
      <alignment horizontal="center" vertical="center"/>
    </xf>
    <xf numFmtId="0" fontId="5" fillId="0" borderId="157" xfId="0" applyFont="1" applyBorder="1" applyAlignment="1">
      <alignment horizontal="center" vertical="center"/>
    </xf>
    <xf numFmtId="0" fontId="5" fillId="0" borderId="23" xfId="0" applyFont="1" applyBorder="1" applyAlignment="1">
      <alignment horizontal="center" vertical="center"/>
    </xf>
    <xf numFmtId="0" fontId="10" fillId="0" borderId="141" xfId="0" applyFont="1" applyBorder="1" applyAlignment="1">
      <alignment horizontal="center" vertical="center"/>
    </xf>
    <xf numFmtId="0" fontId="10" fillId="0" borderId="103" xfId="0" applyFont="1" applyBorder="1" applyAlignment="1">
      <alignment horizontal="center" vertical="center"/>
    </xf>
    <xf numFmtId="0" fontId="82" fillId="0" borderId="146" xfId="0" applyFont="1" applyBorder="1" applyAlignment="1">
      <alignment horizontal="center" vertical="center" wrapText="1"/>
    </xf>
    <xf numFmtId="0" fontId="82" fillId="0" borderId="147" xfId="0" applyFont="1" applyBorder="1" applyAlignment="1">
      <alignment horizontal="center" vertical="center" wrapText="1"/>
    </xf>
    <xf numFmtId="0" fontId="82" fillId="0" borderId="87" xfId="0" applyFont="1" applyBorder="1" applyAlignment="1">
      <alignment horizontal="center" vertical="center" wrapText="1"/>
    </xf>
    <xf numFmtId="0" fontId="10" fillId="0" borderId="161" xfId="27" applyFont="1" applyBorder="1" applyAlignment="1">
      <alignment horizontal="center" vertical="center" wrapText="1"/>
    </xf>
    <xf numFmtId="0" fontId="10" fillId="0" borderId="153" xfId="27" applyFont="1" applyBorder="1" applyAlignment="1">
      <alignment horizontal="center" vertical="center" wrapText="1"/>
    </xf>
    <xf numFmtId="0" fontId="10" fillId="0" borderId="87" xfId="27" applyFont="1" applyBorder="1" applyAlignment="1">
      <alignment horizontal="center" vertical="center" wrapText="1"/>
    </xf>
    <xf numFmtId="0" fontId="10" fillId="0" borderId="146" xfId="27" applyFont="1" applyBorder="1" applyAlignment="1">
      <alignment horizontal="center" vertical="center" wrapText="1"/>
    </xf>
    <xf numFmtId="0" fontId="10" fillId="0" borderId="87" xfId="27" applyFont="1" applyBorder="1" applyAlignment="1">
      <alignment horizontal="center" vertical="center"/>
    </xf>
    <xf numFmtId="0" fontId="15" fillId="12" borderId="151" xfId="27" applyFill="1" applyBorder="1" applyAlignment="1">
      <alignment horizontal="center" vertical="center"/>
    </xf>
    <xf numFmtId="0" fontId="15" fillId="12" borderId="144" xfId="27" applyFill="1" applyBorder="1" applyAlignment="1">
      <alignment horizontal="center" vertical="center"/>
    </xf>
    <xf numFmtId="0" fontId="10" fillId="0" borderId="48" xfId="27" applyFont="1" applyBorder="1" applyAlignment="1">
      <alignment horizontal="center" vertical="center" wrapText="1"/>
    </xf>
    <xf numFmtId="0" fontId="10" fillId="0" borderId="71" xfId="27" applyFont="1" applyBorder="1" applyAlignment="1">
      <alignment horizontal="center" vertical="center" wrapText="1"/>
    </xf>
    <xf numFmtId="0" fontId="10" fillId="0" borderId="55" xfId="27" applyFont="1" applyBorder="1" applyAlignment="1">
      <alignment horizontal="center" vertical="center"/>
    </xf>
    <xf numFmtId="0" fontId="7" fillId="0" borderId="0" xfId="0" applyFont="1" applyAlignment="1">
      <alignment horizontal="left" vertical="top" wrapText="1"/>
    </xf>
    <xf numFmtId="0" fontId="10" fillId="0" borderId="82" xfId="21" applyFont="1" applyBorder="1" applyAlignment="1">
      <alignment horizontal="center" vertical="center"/>
    </xf>
    <xf numFmtId="0" fontId="10" fillId="0" borderId="74" xfId="21" applyFont="1" applyBorder="1" applyAlignment="1">
      <alignment horizontal="center" vertical="center"/>
    </xf>
    <xf numFmtId="0" fontId="10" fillId="0" borderId="10" xfId="21" applyFont="1" applyBorder="1" applyAlignment="1">
      <alignment horizontal="center" vertical="center"/>
    </xf>
    <xf numFmtId="0" fontId="10" fillId="0" borderId="133" xfId="21" applyFont="1" applyBorder="1" applyAlignment="1">
      <alignment horizontal="center" vertical="center"/>
    </xf>
    <xf numFmtId="0" fontId="10" fillId="0" borderId="43" xfId="21" applyFont="1" applyBorder="1" applyAlignment="1">
      <alignment horizontal="center" vertical="center"/>
    </xf>
    <xf numFmtId="0" fontId="10" fillId="0" borderId="37" xfId="21" applyFont="1" applyBorder="1" applyAlignment="1">
      <alignment horizontal="center" vertical="center"/>
    </xf>
    <xf numFmtId="0" fontId="5" fillId="0" borderId="107" xfId="27" applyFont="1" applyBorder="1" applyAlignment="1">
      <alignment horizontal="center"/>
    </xf>
    <xf numFmtId="0" fontId="5" fillId="0" borderId="5" xfId="27" applyFont="1" applyBorder="1" applyAlignment="1">
      <alignment horizontal="center"/>
    </xf>
    <xf numFmtId="0" fontId="5" fillId="0" borderId="19" xfId="27" applyFont="1" applyBorder="1" applyAlignment="1">
      <alignment horizontal="center"/>
    </xf>
    <xf numFmtId="0" fontId="5" fillId="0" borderId="4" xfId="27" applyFont="1" applyBorder="1" applyAlignment="1">
      <alignment horizontal="center"/>
    </xf>
    <xf numFmtId="0" fontId="5" fillId="0" borderId="154" xfId="27" applyFont="1" applyBorder="1" applyAlignment="1">
      <alignment horizontal="center"/>
    </xf>
    <xf numFmtId="0" fontId="5" fillId="0" borderId="62" xfId="27" applyFont="1" applyBorder="1" applyAlignment="1">
      <alignment horizontal="center"/>
    </xf>
    <xf numFmtId="0" fontId="6" fillId="0" borderId="24" xfId="0" applyFont="1" applyBorder="1" applyAlignment="1">
      <alignment horizontal="center" vertical="center" wrapText="1"/>
    </xf>
    <xf numFmtId="0" fontId="6" fillId="0" borderId="125" xfId="0" applyFont="1" applyBorder="1" applyAlignment="1">
      <alignment horizontal="center" vertical="center" wrapText="1"/>
    </xf>
    <xf numFmtId="0" fontId="6" fillId="0" borderId="31" xfId="0" applyFont="1" applyBorder="1" applyAlignment="1">
      <alignment horizontal="center" vertical="center" wrapText="1"/>
    </xf>
    <xf numFmtId="0" fontId="9" fillId="0" borderId="0" xfId="0" applyFont="1" applyAlignment="1">
      <alignment vertical="top"/>
    </xf>
    <xf numFmtId="0" fontId="5" fillId="0" borderId="101" xfId="0" applyFont="1" applyBorder="1" applyAlignment="1">
      <alignment horizontal="left" vertical="center" wrapText="1"/>
    </xf>
    <xf numFmtId="0" fontId="28" fillId="5" borderId="25" xfId="0" applyFont="1" applyFill="1" applyBorder="1" applyAlignment="1">
      <alignment horizontal="center" vertical="center" wrapText="1"/>
    </xf>
    <xf numFmtId="0" fontId="28" fillId="5" borderId="25" xfId="0" applyFont="1" applyFill="1" applyBorder="1" applyAlignment="1">
      <alignment horizontal="center" wrapText="1"/>
    </xf>
    <xf numFmtId="0" fontId="28" fillId="5" borderId="63" xfId="0" applyFont="1" applyFill="1" applyBorder="1" applyAlignment="1">
      <alignment horizontal="center" wrapText="1"/>
    </xf>
    <xf numFmtId="0" fontId="28" fillId="5" borderId="48" xfId="0" applyFont="1" applyFill="1" applyBorder="1" applyAlignment="1">
      <alignment horizontal="center" wrapText="1"/>
    </xf>
    <xf numFmtId="0" fontId="28" fillId="5" borderId="71" xfId="0" applyFont="1" applyFill="1" applyBorder="1" applyAlignment="1">
      <alignment horizontal="center" wrapText="1"/>
    </xf>
    <xf numFmtId="0" fontId="19" fillId="5" borderId="25" xfId="0" applyFont="1" applyFill="1" applyBorder="1" applyAlignment="1">
      <alignment horizontal="center" wrapText="1"/>
    </xf>
    <xf numFmtId="0" fontId="28" fillId="5" borderId="48" xfId="0" applyFont="1" applyFill="1" applyBorder="1" applyAlignment="1">
      <alignment horizontal="center" vertical="center" wrapText="1"/>
    </xf>
    <xf numFmtId="0" fontId="28" fillId="5" borderId="67" xfId="0" applyFont="1" applyFill="1" applyBorder="1" applyAlignment="1">
      <alignment horizontal="center" wrapText="1"/>
    </xf>
    <xf numFmtId="0" fontId="7" fillId="5" borderId="0" xfId="0" applyFont="1" applyFill="1" applyAlignment="1">
      <alignment horizontal="left" vertical="center"/>
    </xf>
    <xf numFmtId="0" fontId="28" fillId="5" borderId="72" xfId="0" applyFont="1" applyFill="1" applyBorder="1" applyAlignment="1">
      <alignment horizontal="center" vertical="center" wrapText="1"/>
    </xf>
    <xf numFmtId="0" fontId="28" fillId="5" borderId="41" xfId="0" applyFont="1" applyFill="1" applyBorder="1" applyAlignment="1">
      <alignment horizontal="center" vertical="center" wrapText="1"/>
    </xf>
    <xf numFmtId="0" fontId="28" fillId="5" borderId="65" xfId="0" applyFont="1" applyFill="1" applyBorder="1" applyAlignment="1">
      <alignment horizontal="center" vertical="center" wrapText="1"/>
    </xf>
    <xf numFmtId="0" fontId="28" fillId="5" borderId="67" xfId="0" applyFont="1" applyFill="1" applyBorder="1" applyAlignment="1">
      <alignment horizontal="center" vertical="center" wrapText="1"/>
    </xf>
    <xf numFmtId="0" fontId="28" fillId="5" borderId="63" xfId="0" applyFont="1" applyFill="1" applyBorder="1" applyAlignment="1">
      <alignment horizontal="center" vertical="center" wrapText="1"/>
    </xf>
    <xf numFmtId="0" fontId="28" fillId="0" borderId="101" xfId="0" applyFont="1" applyBorder="1" applyAlignment="1">
      <alignment horizontal="left" vertical="center" wrapText="1"/>
    </xf>
    <xf numFmtId="0" fontId="21" fillId="5" borderId="24" xfId="28" applyFont="1" applyFill="1" applyBorder="1" applyAlignment="1">
      <alignment horizontal="center" vertical="center"/>
    </xf>
    <xf numFmtId="0" fontId="0" fillId="0" borderId="125" xfId="0" applyBorder="1" applyAlignment="1">
      <alignment horizontal="center" vertical="center"/>
    </xf>
    <xf numFmtId="0" fontId="21" fillId="5" borderId="141" xfId="28" applyFont="1" applyFill="1" applyBorder="1" applyAlignment="1">
      <alignment horizontal="center" vertical="center"/>
    </xf>
    <xf numFmtId="0" fontId="13" fillId="5" borderId="27" xfId="29" applyFont="1" applyFill="1" applyBorder="1" applyAlignment="1">
      <alignment horizontal="center" vertical="center"/>
    </xf>
    <xf numFmtId="0" fontId="0" fillId="0" borderId="7" xfId="0" applyBorder="1"/>
    <xf numFmtId="0" fontId="0" fillId="0" borderId="26" xfId="0" applyBorder="1"/>
    <xf numFmtId="0" fontId="21" fillId="5" borderId="24" xfId="28" applyFont="1" applyFill="1" applyBorder="1" applyAlignment="1">
      <alignment horizontal="center" vertical="center" wrapText="1"/>
    </xf>
    <xf numFmtId="0" fontId="21" fillId="5" borderId="31" xfId="28" applyFont="1" applyFill="1" applyBorder="1" applyAlignment="1">
      <alignment horizontal="center" vertical="center" wrapText="1"/>
    </xf>
    <xf numFmtId="0" fontId="10" fillId="0" borderId="82" xfId="28" applyFont="1" applyBorder="1" applyAlignment="1">
      <alignment horizontal="center" vertical="center"/>
    </xf>
    <xf numFmtId="0" fontId="10" fillId="0" borderId="74" xfId="28" applyFont="1" applyBorder="1" applyAlignment="1">
      <alignment horizontal="center" vertical="center"/>
    </xf>
    <xf numFmtId="0" fontId="22" fillId="0" borderId="8" xfId="0" applyFont="1" applyBorder="1" applyAlignment="1">
      <alignment horizontal="center" vertical="center" wrapText="1"/>
    </xf>
    <xf numFmtId="0" fontId="22" fillId="0" borderId="111" xfId="0" applyFont="1" applyBorder="1" applyAlignment="1">
      <alignment horizontal="center" vertical="center" wrapText="1"/>
    </xf>
    <xf numFmtId="0" fontId="5" fillId="0" borderId="154" xfId="0" applyFont="1" applyBorder="1" applyAlignment="1">
      <alignment horizontal="center" vertical="center"/>
    </xf>
    <xf numFmtId="0" fontId="21" fillId="0" borderId="8" xfId="28" applyFont="1" applyBorder="1" applyAlignment="1">
      <alignment horizontal="center" vertical="center" wrapText="1"/>
    </xf>
    <xf numFmtId="0" fontId="21" fillId="0" borderId="9" xfId="28" applyFont="1" applyBorder="1" applyAlignment="1">
      <alignment horizontal="center" vertical="center" wrapText="1"/>
    </xf>
    <xf numFmtId="0" fontId="21" fillId="0" borderId="89" xfId="28" applyFont="1" applyBorder="1" applyAlignment="1">
      <alignment horizontal="center" vertical="center" wrapText="1"/>
    </xf>
    <xf numFmtId="0" fontId="21" fillId="0" borderId="55" xfId="28" applyFont="1" applyBorder="1" applyAlignment="1">
      <alignment horizontal="center" vertical="center" wrapText="1"/>
    </xf>
    <xf numFmtId="0" fontId="21" fillId="0" borderId="97" xfId="28" applyFont="1" applyBorder="1" applyAlignment="1">
      <alignment horizontal="center" vertical="center" wrapText="1"/>
    </xf>
    <xf numFmtId="0" fontId="21" fillId="0" borderId="98" xfId="28" applyFont="1" applyBorder="1" applyAlignment="1">
      <alignment horizontal="center" vertical="center" wrapText="1"/>
    </xf>
    <xf numFmtId="0" fontId="21" fillId="0" borderId="24" xfId="29" applyFont="1" applyBorder="1" applyAlignment="1">
      <alignment horizontal="center" vertical="center" wrapText="1"/>
    </xf>
    <xf numFmtId="0" fontId="0" fillId="0" borderId="125" xfId="0" applyBorder="1" applyAlignment="1">
      <alignment horizontal="center" vertical="center" wrapText="1"/>
    </xf>
    <xf numFmtId="0" fontId="21" fillId="0" borderId="8" xfId="29" applyFont="1" applyBorder="1" applyAlignment="1">
      <alignment horizontal="center" vertical="center"/>
    </xf>
    <xf numFmtId="0" fontId="21" fillId="0" borderId="97" xfId="29" applyFont="1" applyBorder="1" applyAlignment="1">
      <alignment horizontal="center" vertical="center"/>
    </xf>
    <xf numFmtId="0" fontId="21" fillId="0" borderId="89" xfId="29" applyFont="1" applyBorder="1" applyAlignment="1">
      <alignment horizontal="center" vertical="center"/>
    </xf>
    <xf numFmtId="0" fontId="21" fillId="0" borderId="55" xfId="29" applyFont="1" applyBorder="1" applyAlignment="1">
      <alignment horizontal="center" vertical="center"/>
    </xf>
    <xf numFmtId="0" fontId="21" fillId="0" borderId="89" xfId="29" applyFont="1" applyBorder="1" applyAlignment="1">
      <alignment horizontal="center" vertical="center" wrapText="1"/>
    </xf>
    <xf numFmtId="0" fontId="21" fillId="0" borderId="98" xfId="29" applyFont="1" applyBorder="1" applyAlignment="1">
      <alignment horizontal="center" vertical="center" wrapText="1"/>
    </xf>
    <xf numFmtId="0" fontId="21" fillId="0" borderId="8" xfId="29" applyFont="1" applyBorder="1" applyAlignment="1">
      <alignment horizontal="center" vertical="center" wrapText="1"/>
    </xf>
    <xf numFmtId="0" fontId="21" fillId="0" borderId="9" xfId="29" applyFont="1" applyBorder="1" applyAlignment="1">
      <alignment horizontal="center" vertical="center" wrapText="1"/>
    </xf>
    <xf numFmtId="0" fontId="0" fillId="0" borderId="9" xfId="0" applyBorder="1" applyAlignment="1">
      <alignment horizontal="center" vertical="center" wrapText="1"/>
    </xf>
    <xf numFmtId="0" fontId="6" fillId="0" borderId="24" xfId="30" applyFont="1" applyBorder="1" applyAlignment="1">
      <alignment horizontal="center" vertical="center"/>
    </xf>
    <xf numFmtId="0" fontId="6" fillId="0" borderId="125" xfId="30" applyFont="1" applyBorder="1" applyAlignment="1">
      <alignment horizontal="center" vertical="center"/>
    </xf>
    <xf numFmtId="0" fontId="6" fillId="0" borderId="24" xfId="31" applyFont="1" applyBorder="1" applyAlignment="1">
      <alignment horizontal="center" vertical="center"/>
    </xf>
    <xf numFmtId="0" fontId="6" fillId="0" borderId="31" xfId="31" applyFont="1" applyBorder="1" applyAlignment="1">
      <alignment horizontal="center" vertical="center"/>
    </xf>
    <xf numFmtId="0" fontId="6" fillId="0" borderId="125" xfId="31" applyFont="1" applyBorder="1" applyAlignment="1">
      <alignment horizontal="center" vertical="center"/>
    </xf>
    <xf numFmtId="0" fontId="16" fillId="0" borderId="159" xfId="32" applyFont="1" applyBorder="1" applyAlignment="1">
      <alignment horizontal="center" vertical="center" wrapText="1"/>
    </xf>
    <xf numFmtId="0" fontId="16" fillId="0" borderId="114" xfId="32" applyFont="1" applyBorder="1" applyAlignment="1">
      <alignment horizontal="center" vertical="center" wrapText="1"/>
    </xf>
    <xf numFmtId="0" fontId="16" fillId="0" borderId="8" xfId="33" applyFont="1" applyBorder="1" applyAlignment="1">
      <alignment horizontal="center" vertical="center" wrapText="1"/>
    </xf>
    <xf numFmtId="0" fontId="16" fillId="0" borderId="89" xfId="33" applyFont="1" applyBorder="1" applyAlignment="1" applyProtection="1">
      <alignment horizontal="center" vertical="center" wrapText="1"/>
      <protection locked="0"/>
    </xf>
    <xf numFmtId="0" fontId="0" fillId="0" borderId="98" xfId="0" applyBorder="1"/>
    <xf numFmtId="0" fontId="17" fillId="0" borderId="8" xfId="33" applyFont="1" applyBorder="1" applyAlignment="1">
      <alignment horizontal="center" vertical="center" wrapText="1"/>
    </xf>
    <xf numFmtId="0" fontId="16" fillId="0" borderId="89" xfId="33" applyFont="1" applyBorder="1" applyAlignment="1">
      <alignment horizontal="center" vertical="center" wrapText="1"/>
    </xf>
    <xf numFmtId="0" fontId="16" fillId="0" borderId="98" xfId="33" applyFont="1" applyBorder="1" applyAlignment="1">
      <alignment horizontal="center" vertical="center" wrapText="1"/>
    </xf>
    <xf numFmtId="0" fontId="80" fillId="0" borderId="8" xfId="0" applyFont="1" applyBorder="1" applyAlignment="1">
      <alignment horizontal="center" vertical="center" wrapText="1"/>
    </xf>
    <xf numFmtId="0" fontId="0" fillId="0" borderId="9" xfId="0" applyBorder="1" applyAlignment="1">
      <alignment vertical="center" wrapText="1"/>
    </xf>
    <xf numFmtId="0" fontId="6" fillId="14" borderId="148" xfId="0" applyFont="1" applyFill="1" applyBorder="1" applyAlignment="1">
      <alignment horizontal="center" vertical="top" wrapText="1"/>
    </xf>
    <xf numFmtId="0" fontId="6" fillId="14" borderId="156" xfId="0" applyFont="1" applyFill="1" applyBorder="1" applyAlignment="1">
      <alignment horizontal="center" vertical="top" wrapText="1"/>
    </xf>
    <xf numFmtId="0" fontId="3" fillId="0" borderId="0" xfId="0" applyFont="1" applyAlignment="1">
      <alignment horizontal="left" wrapText="1"/>
    </xf>
    <xf numFmtId="0" fontId="127" fillId="0" borderId="12" xfId="0" applyFont="1" applyBorder="1" applyAlignment="1">
      <alignment horizontal="left" vertical="center" wrapText="1"/>
    </xf>
    <xf numFmtId="0" fontId="127" fillId="0" borderId="0" xfId="0" applyFont="1" applyAlignment="1">
      <alignment horizontal="left" vertical="center" wrapText="1"/>
    </xf>
    <xf numFmtId="0" fontId="103" fillId="0" borderId="147" xfId="0" applyFont="1" applyBorder="1" applyAlignment="1">
      <alignment horizontal="center"/>
    </xf>
    <xf numFmtId="0" fontId="0" fillId="0" borderId="150" xfId="0" applyBorder="1" applyAlignment="1" applyProtection="1">
      <alignment vertical="top" wrapText="1"/>
      <protection locked="0"/>
    </xf>
    <xf numFmtId="0" fontId="0" fillId="0" borderId="140" xfId="0" applyBorder="1" applyAlignment="1" applyProtection="1">
      <alignment vertical="top" wrapText="1"/>
      <protection locked="0"/>
    </xf>
    <xf numFmtId="0" fontId="0" fillId="0" borderId="57" xfId="0" applyBorder="1" applyAlignment="1" applyProtection="1">
      <alignment vertical="top" wrapText="1"/>
      <protection locked="0"/>
    </xf>
    <xf numFmtId="0" fontId="106" fillId="0" borderId="101" xfId="0" applyFont="1" applyBorder="1" applyAlignment="1">
      <alignment horizontal="center" vertical="center" wrapText="1"/>
    </xf>
    <xf numFmtId="0" fontId="31" fillId="0" borderId="32" xfId="0" applyFont="1" applyBorder="1" applyAlignment="1">
      <alignment horizontal="center"/>
    </xf>
    <xf numFmtId="0" fontId="31" fillId="0" borderId="5" xfId="0" applyFont="1" applyBorder="1" applyAlignment="1">
      <alignment horizontal="center"/>
    </xf>
    <xf numFmtId="0" fontId="31" fillId="0" borderId="19" xfId="0" applyFont="1" applyBorder="1" applyAlignment="1">
      <alignment horizontal="center"/>
    </xf>
    <xf numFmtId="0" fontId="2" fillId="0" borderId="135" xfId="9" applyFont="1" applyBorder="1" applyAlignment="1">
      <alignment horizontal="center" vertical="center" wrapText="1"/>
    </xf>
    <xf numFmtId="0" fontId="6" fillId="0" borderId="148" xfId="9" applyFont="1" applyBorder="1" applyAlignment="1">
      <alignment wrapText="1"/>
    </xf>
    <xf numFmtId="0" fontId="6" fillId="0" borderId="156" xfId="9" applyFont="1" applyBorder="1" applyAlignment="1">
      <alignment wrapText="1"/>
    </xf>
    <xf numFmtId="0" fontId="2" fillId="0" borderId="148" xfId="9" applyFont="1" applyBorder="1" applyAlignment="1">
      <alignment horizontal="center" vertical="center" wrapText="1"/>
    </xf>
    <xf numFmtId="164" fontId="2" fillId="0" borderId="135" xfId="25" applyNumberFormat="1" applyFont="1" applyBorder="1" applyAlignment="1">
      <alignment horizontal="center" vertical="center" wrapText="1"/>
    </xf>
    <xf numFmtId="164" fontId="2" fillId="0" borderId="156" xfId="25" applyNumberFormat="1" applyFont="1" applyBorder="1" applyAlignment="1">
      <alignment horizontal="center" vertical="center" wrapText="1"/>
    </xf>
    <xf numFmtId="49" fontId="110" fillId="0" borderId="48" xfId="13" applyNumberFormat="1" applyFont="1" applyBorder="1" applyAlignment="1" applyProtection="1">
      <alignment horizontal="center" vertical="center" wrapText="1"/>
      <protection locked="0"/>
    </xf>
    <xf numFmtId="49" fontId="110" fillId="0" borderId="123" xfId="13" applyNumberFormat="1" applyFont="1" applyBorder="1" applyAlignment="1" applyProtection="1">
      <alignment horizontal="center" vertical="center" wrapText="1"/>
      <protection locked="0"/>
    </xf>
    <xf numFmtId="49" fontId="110" fillId="0" borderId="71" xfId="13" applyNumberFormat="1" applyFont="1" applyBorder="1" applyAlignment="1" applyProtection="1">
      <alignment horizontal="center" vertical="center" wrapText="1"/>
      <protection locked="0"/>
    </xf>
    <xf numFmtId="0" fontId="0" fillId="0" borderId="0" xfId="0"/>
    <xf numFmtId="0" fontId="128" fillId="0" borderId="101" xfId="0" applyFont="1" applyBorder="1" applyAlignment="1">
      <alignment horizontal="right" vertical="top" wrapText="1"/>
    </xf>
    <xf numFmtId="0" fontId="129" fillId="0" borderId="101" xfId="0" applyFont="1" applyBorder="1" applyAlignment="1">
      <alignment horizontal="right"/>
    </xf>
    <xf numFmtId="3" fontId="15" fillId="0" borderId="106" xfId="0" applyNumberFormat="1" applyFont="1" applyBorder="1" applyProtection="1">
      <protection locked="0"/>
    </xf>
    <xf numFmtId="3" fontId="15" fillId="0" borderId="25" xfId="0" applyNumberFormat="1" applyFont="1" applyBorder="1" applyProtection="1">
      <protection locked="0"/>
    </xf>
    <xf numFmtId="0" fontId="15" fillId="0" borderId="109" xfId="0" applyFont="1" applyBorder="1" applyAlignment="1" applyProtection="1">
      <alignment wrapText="1"/>
      <protection locked="0"/>
    </xf>
    <xf numFmtId="0" fontId="15" fillId="0" borderId="56" xfId="0" applyFont="1" applyBorder="1" applyAlignment="1" applyProtection="1">
      <alignment wrapText="1"/>
      <protection locked="0"/>
    </xf>
    <xf numFmtId="0" fontId="5" fillId="0" borderId="48" xfId="0" applyFont="1" applyBorder="1" applyAlignment="1">
      <alignment horizontal="center"/>
    </xf>
    <xf numFmtId="0" fontId="5" fillId="0" borderId="123" xfId="0" applyFont="1" applyBorder="1" applyAlignment="1">
      <alignment horizontal="center"/>
    </xf>
    <xf numFmtId="0" fontId="5" fillId="0" borderId="71" xfId="0" applyFont="1" applyBorder="1" applyAlignment="1">
      <alignment horizontal="center"/>
    </xf>
    <xf numFmtId="0" fontId="28" fillId="0" borderId="0" xfId="0" applyFont="1" applyAlignment="1">
      <alignment horizontal="left" vertical="center" wrapText="1"/>
    </xf>
    <xf numFmtId="0" fontId="22" fillId="0" borderId="48" xfId="0" applyFont="1" applyBorder="1" applyAlignment="1">
      <alignment horizontal="center" wrapText="1"/>
    </xf>
    <xf numFmtId="0" fontId="22" fillId="0" borderId="123" xfId="0" applyFont="1" applyBorder="1" applyAlignment="1">
      <alignment horizontal="center" wrapText="1"/>
    </xf>
    <xf numFmtId="0" fontId="22" fillId="0" borderId="71" xfId="0" applyFont="1" applyBorder="1" applyAlignment="1">
      <alignment horizontal="center" wrapText="1"/>
    </xf>
    <xf numFmtId="0" fontId="22" fillId="0" borderId="48" xfId="0" applyFont="1" applyBorder="1" applyAlignment="1">
      <alignment horizontal="center"/>
    </xf>
    <xf numFmtId="0" fontId="22" fillId="0" borderId="123" xfId="0" applyFont="1" applyBorder="1" applyAlignment="1">
      <alignment horizontal="center"/>
    </xf>
    <xf numFmtId="0" fontId="58" fillId="0" borderId="0" xfId="0" applyFont="1" applyAlignment="1">
      <alignment horizontal="center" vertical="center" wrapText="1"/>
    </xf>
    <xf numFmtId="0" fontId="23" fillId="0" borderId="146" xfId="0" applyFont="1" applyBorder="1" applyAlignment="1">
      <alignment horizontal="left" wrapText="1"/>
    </xf>
    <xf numFmtId="0" fontId="23" fillId="0" borderId="147" xfId="0" applyFont="1" applyBorder="1" applyAlignment="1">
      <alignment horizontal="left" wrapText="1"/>
    </xf>
    <xf numFmtId="0" fontId="23" fillId="0" borderId="87" xfId="0" applyFont="1" applyBorder="1" applyAlignment="1">
      <alignment horizontal="left" wrapText="1"/>
    </xf>
    <xf numFmtId="10" fontId="3" fillId="0" borderId="160" xfId="35" applyNumberFormat="1" applyFont="1" applyBorder="1" applyAlignment="1">
      <alignment horizontal="center" vertical="center" wrapText="1"/>
    </xf>
    <xf numFmtId="10" fontId="3" fillId="0" borderId="148" xfId="35" applyNumberFormat="1" applyFont="1" applyBorder="1" applyAlignment="1">
      <alignment horizontal="center" vertical="center" wrapText="1"/>
    </xf>
    <xf numFmtId="10" fontId="3" fillId="0" borderId="156" xfId="35" applyNumberFormat="1" applyFont="1" applyBorder="1" applyAlignment="1">
      <alignment horizontal="center" vertical="center" wrapText="1"/>
    </xf>
    <xf numFmtId="0" fontId="10" fillId="0" borderId="150" xfId="0" applyFont="1" applyBorder="1" applyAlignment="1">
      <alignment horizontal="right"/>
    </xf>
    <xf numFmtId="0" fontId="10" fillId="0" borderId="140" xfId="0" applyFont="1" applyBorder="1" applyAlignment="1">
      <alignment horizontal="right"/>
    </xf>
    <xf numFmtId="0" fontId="10" fillId="0" borderId="155" xfId="0" applyFont="1" applyBorder="1" applyAlignment="1">
      <alignment horizontal="right"/>
    </xf>
    <xf numFmtId="3" fontId="38" fillId="0" borderId="161" xfId="0" applyNumberFormat="1" applyFont="1" applyBorder="1" applyAlignment="1">
      <alignment horizontal="center"/>
    </xf>
    <xf numFmtId="0" fontId="55" fillId="0" borderId="147" xfId="0" applyFont="1" applyBorder="1"/>
    <xf numFmtId="0" fontId="55" fillId="0" borderId="87" xfId="0" applyFont="1" applyBorder="1"/>
    <xf numFmtId="0" fontId="10" fillId="0" borderId="146" xfId="0" applyFont="1" applyBorder="1" applyAlignment="1">
      <alignment horizontal="center" vertical="center" wrapText="1"/>
    </xf>
    <xf numFmtId="0" fontId="10" fillId="0" borderId="147" xfId="0" applyFont="1" applyBorder="1" applyAlignment="1">
      <alignment horizontal="center" vertical="center" wrapText="1"/>
    </xf>
    <xf numFmtId="0" fontId="10" fillId="0" borderId="87" xfId="0" applyFont="1" applyBorder="1" applyAlignment="1">
      <alignment horizontal="center" vertical="center" wrapText="1"/>
    </xf>
    <xf numFmtId="0" fontId="14" fillId="0" borderId="12" xfId="0" applyFont="1" applyBorder="1" applyAlignment="1">
      <alignment horizontal="center" vertical="center"/>
    </xf>
    <xf numFmtId="0" fontId="14" fillId="0" borderId="0" xfId="0" applyFont="1" applyAlignment="1">
      <alignment horizontal="center" vertical="center"/>
    </xf>
    <xf numFmtId="0" fontId="14" fillId="0" borderId="30" xfId="0" applyFont="1" applyBorder="1" applyAlignment="1">
      <alignment horizontal="center" vertical="center"/>
    </xf>
    <xf numFmtId="0" fontId="14" fillId="0" borderId="151" xfId="0" applyFont="1" applyBorder="1" applyAlignment="1">
      <alignment horizontal="center" vertical="center"/>
    </xf>
    <xf numFmtId="0" fontId="14" fillId="0" borderId="101" xfId="0" applyFont="1" applyBorder="1" applyAlignment="1">
      <alignment horizontal="center" vertical="center"/>
    </xf>
    <xf numFmtId="0" fontId="14" fillId="0" borderId="144" xfId="0" applyFont="1" applyBorder="1" applyAlignment="1">
      <alignment horizontal="center" vertical="center"/>
    </xf>
    <xf numFmtId="0" fontId="14" fillId="0" borderId="3" xfId="0" applyFont="1" applyBorder="1" applyAlignment="1">
      <alignment horizontal="center" vertical="center"/>
    </xf>
    <xf numFmtId="0" fontId="14" fillId="0" borderId="154" xfId="0" applyFont="1" applyBorder="1" applyAlignment="1">
      <alignment horizontal="center" vertical="center"/>
    </xf>
    <xf numFmtId="0" fontId="14" fillId="0" borderId="62" xfId="0" applyFont="1" applyBorder="1" applyAlignment="1">
      <alignment horizontal="center" vertical="center"/>
    </xf>
    <xf numFmtId="0" fontId="14" fillId="0" borderId="146" xfId="0" applyFont="1" applyBorder="1" applyAlignment="1">
      <alignment horizontal="center" vertical="center" wrapText="1"/>
    </xf>
    <xf numFmtId="0" fontId="14" fillId="0" borderId="147" xfId="0" applyFont="1" applyBorder="1" applyAlignment="1">
      <alignment horizontal="center" vertical="center" wrapText="1"/>
    </xf>
    <xf numFmtId="0" fontId="14" fillId="0" borderId="87" xfId="0" applyFont="1" applyBorder="1" applyAlignment="1">
      <alignment horizontal="center" vertical="center" wrapText="1"/>
    </xf>
    <xf numFmtId="0" fontId="3" fillId="0" borderId="147" xfId="0" applyFont="1" applyBorder="1" applyAlignment="1">
      <alignment horizontal="center" vertical="center" wrapText="1"/>
    </xf>
    <xf numFmtId="0" fontId="3" fillId="0" borderId="87" xfId="0" applyFont="1" applyBorder="1" applyAlignment="1">
      <alignment horizontal="center" vertical="center" wrapText="1"/>
    </xf>
    <xf numFmtId="0" fontId="14" fillId="0" borderId="146" xfId="0" applyFont="1" applyBorder="1" applyAlignment="1">
      <alignment horizontal="center" vertical="center"/>
    </xf>
    <xf numFmtId="0" fontId="30" fillId="0" borderId="147" xfId="0" applyFont="1" applyBorder="1" applyAlignment="1">
      <alignment horizontal="center" vertical="center"/>
    </xf>
    <xf numFmtId="0" fontId="30" fillId="0" borderId="87" xfId="0" applyFont="1" applyBorder="1" applyAlignment="1">
      <alignment horizontal="center" vertical="center"/>
    </xf>
    <xf numFmtId="0" fontId="30" fillId="0" borderId="154" xfId="0" applyFont="1" applyBorder="1" applyAlignment="1">
      <alignment horizontal="center" vertical="center"/>
    </xf>
    <xf numFmtId="0" fontId="30" fillId="0" borderId="62" xfId="0" applyFont="1" applyBorder="1" applyAlignment="1">
      <alignment horizontal="center" vertical="center"/>
    </xf>
    <xf numFmtId="0" fontId="30" fillId="0" borderId="12" xfId="0" applyFont="1" applyBorder="1" applyAlignment="1">
      <alignment horizontal="center" vertical="center"/>
    </xf>
    <xf numFmtId="0" fontId="30" fillId="0" borderId="0" xfId="0" applyFont="1" applyAlignment="1">
      <alignment horizontal="center" vertical="center"/>
    </xf>
    <xf numFmtId="0" fontId="30" fillId="0" borderId="30" xfId="0" applyFont="1" applyBorder="1" applyAlignment="1">
      <alignment horizontal="center" vertical="center"/>
    </xf>
    <xf numFmtId="0" fontId="30" fillId="0" borderId="151" xfId="0" applyFont="1" applyBorder="1" applyAlignment="1">
      <alignment horizontal="center" vertical="center"/>
    </xf>
    <xf numFmtId="0" fontId="30" fillId="0" borderId="101" xfId="0" applyFont="1" applyBorder="1" applyAlignment="1">
      <alignment horizontal="center" vertical="center"/>
    </xf>
    <xf numFmtId="0" fontId="30" fillId="0" borderId="144" xfId="0" applyFont="1" applyBorder="1" applyAlignment="1">
      <alignment horizontal="center" vertical="center"/>
    </xf>
    <xf numFmtId="0" fontId="14" fillId="0" borderId="147" xfId="0" applyFont="1" applyBorder="1" applyAlignment="1">
      <alignment horizontal="center" vertical="center"/>
    </xf>
    <xf numFmtId="0" fontId="14" fillId="0" borderId="87" xfId="0" applyFont="1" applyBorder="1" applyAlignment="1">
      <alignment horizontal="center" vertical="center"/>
    </xf>
    <xf numFmtId="0" fontId="130" fillId="15" borderId="0" xfId="0" applyFont="1" applyFill="1" applyAlignment="1">
      <alignment horizontal="center"/>
    </xf>
    <xf numFmtId="0" fontId="7" fillId="0" borderId="0" xfId="0" applyFont="1" applyAlignment="1">
      <alignment horizontal="center" vertical="top" wrapText="1"/>
    </xf>
    <xf numFmtId="0" fontId="9" fillId="0" borderId="0" xfId="0" applyFont="1" applyAlignment="1">
      <alignment horizontal="left" wrapText="1"/>
    </xf>
    <xf numFmtId="0" fontId="23" fillId="5" borderId="32" xfId="0" applyFont="1" applyFill="1" applyBorder="1" applyAlignment="1">
      <alignment horizontal="center" vertical="center" wrapText="1"/>
    </xf>
    <xf numFmtId="0" fontId="23" fillId="5" borderId="5"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105" xfId="0" applyFont="1" applyFill="1" applyBorder="1" applyAlignment="1">
      <alignment horizontal="center" vertical="center" wrapText="1"/>
    </xf>
    <xf numFmtId="0" fontId="23" fillId="5" borderId="106" xfId="0" applyFont="1" applyFill="1" applyBorder="1" applyAlignment="1">
      <alignment horizontal="center" vertical="center" wrapText="1"/>
    </xf>
    <xf numFmtId="0" fontId="23" fillId="5" borderId="109" xfId="0" applyFont="1" applyFill="1" applyBorder="1" applyAlignment="1">
      <alignment horizontal="center" vertical="center" wrapText="1"/>
    </xf>
    <xf numFmtId="0" fontId="23" fillId="0" borderId="146" xfId="0" applyFont="1" applyBorder="1" applyAlignment="1">
      <alignment horizontal="left" vertical="top" wrapText="1"/>
    </xf>
    <xf numFmtId="0" fontId="23" fillId="0" borderId="147" xfId="0" applyFont="1" applyBorder="1" applyAlignment="1">
      <alignment horizontal="left" vertical="top" wrapText="1"/>
    </xf>
    <xf numFmtId="0" fontId="23" fillId="0" borderId="87" xfId="0" applyFont="1" applyBorder="1" applyAlignment="1">
      <alignment horizontal="left" vertical="top" wrapText="1"/>
    </xf>
    <xf numFmtId="0" fontId="2" fillId="0" borderId="101" xfId="0" applyFont="1" applyBorder="1" applyAlignment="1">
      <alignment horizontal="center" vertical="top"/>
    </xf>
    <xf numFmtId="0" fontId="23" fillId="0" borderId="64" xfId="0" applyFont="1" applyBorder="1" applyAlignment="1">
      <alignment horizontal="center" wrapText="1"/>
    </xf>
  </cellXfs>
  <cellStyles count="39">
    <cellStyle name="Collegamento ipertestuale" xfId="1" builtinId="8"/>
    <cellStyle name="Euro" xfId="2" xr:uid="{00000000-0005-0000-0000-000001000000}"/>
    <cellStyle name="Input" xfId="3" builtinId="20" customBuiltin="1"/>
    <cellStyle name="Logico" xfId="4" xr:uid="{00000000-0005-0000-0000-000003000000}"/>
    <cellStyle name="Migliaia" xfId="5" builtinId="3"/>
    <cellStyle name="Migliaia (0)_3tabella15" xfId="6" xr:uid="{00000000-0005-0000-0000-000005000000}"/>
    <cellStyle name="Migliaia 2" xfId="7" xr:uid="{00000000-0005-0000-0000-000006000000}"/>
    <cellStyle name="Migliaia_Sanità 2005 nuove tabelle e qualifiche" xfId="8" xr:uid="{00000000-0005-0000-0000-000007000000}"/>
    <cellStyle name="Normale" xfId="0" builtinId="0"/>
    <cellStyle name="Normale 2" xfId="9" xr:uid="{00000000-0005-0000-0000-000009000000}"/>
    <cellStyle name="Normale 2 2 2" xfId="10" xr:uid="{00000000-0005-0000-0000-00000A000000}"/>
    <cellStyle name="Normale 2 3" xfId="11" xr:uid="{00000000-0005-0000-0000-00000B000000}"/>
    <cellStyle name="Normale 3" xfId="12" xr:uid="{00000000-0005-0000-0000-00000C000000}"/>
    <cellStyle name="Normale 3 2" xfId="13" xr:uid="{00000000-0005-0000-0000-00000D000000}"/>
    <cellStyle name="Normale 4" xfId="14" xr:uid="{00000000-0005-0000-0000-00000E000000}"/>
    <cellStyle name="Normale 4 2" xfId="15" xr:uid="{00000000-0005-0000-0000-00000F000000}"/>
    <cellStyle name="Normale 4 3" xfId="16" xr:uid="{00000000-0005-0000-0000-000010000000}"/>
    <cellStyle name="Normale 5" xfId="17" xr:uid="{00000000-0005-0000-0000-000011000000}"/>
    <cellStyle name="Normale 8" xfId="18" xr:uid="{00000000-0005-0000-0000-000012000000}"/>
    <cellStyle name="Normale_6-kit2001sanita(integrazione) (1)" xfId="19" xr:uid="{00000000-0005-0000-0000-000013000000}"/>
    <cellStyle name="Normale_ENTI LOCALI  2000" xfId="20" xr:uid="{00000000-0005-0000-0000-000014000000}"/>
    <cellStyle name="Normale_Foglio1" xfId="21" xr:uid="{00000000-0005-0000-0000-000015000000}"/>
    <cellStyle name="Normale_MINISTERI" xfId="22" xr:uid="{00000000-0005-0000-0000-000016000000}"/>
    <cellStyle name="Normale_modello si2 raln_MODIFICATO_ALESSIO" xfId="23" xr:uid="{00000000-0005-0000-0000-000017000000}"/>
    <cellStyle name="Normale_PRINFEL98" xfId="24" xr:uid="{00000000-0005-0000-0000-000018000000}"/>
    <cellStyle name="Normale_PRINFEL98_modello si2 raln_MODIFICATO_ALESSIO 2" xfId="25" xr:uid="{00000000-0005-0000-0000-000019000000}"/>
    <cellStyle name="Normale_Prospetto informativo 2001" xfId="26" xr:uid="{00000000-0005-0000-0000-00001A000000}"/>
    <cellStyle name="Normale_Sanità 2005 nuove tabelle e qualifiche" xfId="27" xr:uid="{00000000-0005-0000-0000-00001B000000}"/>
    <cellStyle name="Normale_tabella 4" xfId="28" xr:uid="{00000000-0005-0000-0000-00001C000000}"/>
    <cellStyle name="Normale_tabella 5" xfId="29" xr:uid="{00000000-0005-0000-0000-00001D000000}"/>
    <cellStyle name="Normale_tabella 6" xfId="30" xr:uid="{00000000-0005-0000-0000-00001E000000}"/>
    <cellStyle name="Normale_tabella 7" xfId="31" xr:uid="{00000000-0005-0000-0000-00001F000000}"/>
    <cellStyle name="Normale_tabella 8" xfId="32" xr:uid="{00000000-0005-0000-0000-000020000000}"/>
    <cellStyle name="Normale_tabella 9" xfId="33" xr:uid="{00000000-0005-0000-0000-000021000000}"/>
    <cellStyle name="Output" xfId="34" builtinId="21" customBuiltin="1"/>
    <cellStyle name="Percentuale" xfId="35" builtinId="5"/>
    <cellStyle name="Percentuale 2" xfId="36" xr:uid="{00000000-0005-0000-0000-000024000000}"/>
    <cellStyle name="Percentuale 2 2" xfId="37" xr:uid="{00000000-0005-0000-0000-000025000000}"/>
    <cellStyle name="Valuta (0)_3tabella15" xfId="38" xr:uid="{00000000-0005-0000-0000-000026000000}"/>
  </cellStyles>
  <dxfs count="32">
    <dxf>
      <font>
        <color rgb="FF9C0006"/>
      </font>
      <fill>
        <patternFill>
          <bgColor rgb="FFFFC7CE"/>
        </patternFill>
      </fill>
    </dxf>
    <dxf>
      <font>
        <color rgb="FFFF0000"/>
      </font>
    </dxf>
    <dxf>
      <font>
        <color rgb="FFFF0000"/>
      </font>
    </dxf>
    <dxf>
      <font>
        <b/>
        <i val="0"/>
        <color rgb="FFFF0000"/>
      </font>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fill>
        <patternFill>
          <bgColor theme="9" tint="0.79998168889431442"/>
        </patternFill>
      </fill>
    </dxf>
    <dxf>
      <font>
        <color rgb="FF9C0006"/>
      </font>
      <fill>
        <patternFill>
          <bgColor rgb="FFFFC7CE"/>
        </patternFill>
      </fill>
    </dxf>
    <dxf>
      <font>
        <color rgb="FF9C0006"/>
      </font>
      <fill>
        <patternFill>
          <bgColor rgb="FFFFC7CE"/>
        </patternFill>
      </fill>
    </dxf>
    <dxf>
      <font>
        <b/>
        <i val="0"/>
        <color rgb="FFFF0000"/>
      </font>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fill>
        <patternFill>
          <bgColor theme="9" tint="0.79998168889431442"/>
        </patternFill>
      </fill>
    </dxf>
    <dxf>
      <font>
        <color rgb="FF9C0006"/>
      </font>
      <fill>
        <patternFill>
          <bgColor rgb="FFFFC7CE"/>
        </patternFill>
      </fill>
    </dxf>
    <dxf>
      <font>
        <color rgb="FF9C0006"/>
      </font>
      <fill>
        <patternFill>
          <bgColor rgb="FFFFC7CE"/>
        </patternFill>
      </fill>
    </dxf>
    <dxf>
      <font>
        <color rgb="FFFF000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FF0000"/>
      </font>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313197370288698E-3"/>
          <c:y val="0.19917335278385606"/>
          <c:w val="0.99172935714706101"/>
          <c:h val="0.2738633600778021"/>
        </c:manualLayout>
      </c:layout>
      <c:barChart>
        <c:barDir val="col"/>
        <c:grouping val="clustered"/>
        <c:varyColors val="0"/>
        <c:ser>
          <c:idx val="0"/>
          <c:order val="0"/>
          <c:spPr>
            <a:solidFill>
              <a:srgbClr val="000000"/>
            </a:solidFill>
            <a:ln w="12700">
              <a:solidFill>
                <a:srgbClr val="000000"/>
              </a:solidFill>
              <a:prstDash val="solid"/>
            </a:ln>
          </c:spPr>
          <c:invertIfNegative val="0"/>
          <c:cat>
            <c:strRef>
              <c:f>SI_1!$B$222:$B$239</c:f>
              <c:strCache>
                <c:ptCount val="18"/>
                <c:pt idx="0">
                  <c:v>T1</c:v>
                </c:pt>
                <c:pt idx="1">
                  <c:v>1E</c:v>
                </c:pt>
                <c:pt idx="2">
                  <c:v>T2</c:v>
                </c:pt>
                <c:pt idx="3">
                  <c:v>T2A</c:v>
                </c:pt>
                <c:pt idx="4">
                  <c:v>T3</c:v>
                </c:pt>
                <c:pt idx="5">
                  <c:v>T4</c:v>
                </c:pt>
                <c:pt idx="6">
                  <c:v>T5</c:v>
                </c:pt>
                <c:pt idx="7">
                  <c:v>T6</c:v>
                </c:pt>
                <c:pt idx="8">
                  <c:v>T7</c:v>
                </c:pt>
                <c:pt idx="9">
                  <c:v>T8</c:v>
                </c:pt>
                <c:pt idx="10">
                  <c:v>T9</c:v>
                </c:pt>
                <c:pt idx="11">
                  <c:v>T11</c:v>
                </c:pt>
                <c:pt idx="12">
                  <c:v>T12</c:v>
                </c:pt>
                <c:pt idx="13">
                  <c:v>T13</c:v>
                </c:pt>
                <c:pt idx="14">
                  <c:v>T14</c:v>
                </c:pt>
                <c:pt idx="15">
                  <c:v>T15</c:v>
                </c:pt>
                <c:pt idx="16">
                  <c:v>SICI</c:v>
                </c:pt>
                <c:pt idx="17">
                  <c:v>TRC</c:v>
                </c:pt>
              </c:strCache>
            </c:strRef>
          </c:cat>
          <c:val>
            <c:numRef>
              <c:f>SI_1!$C$222:$C$239</c:f>
              <c:numCache>
                <c:formatCode>General</c:formatCode>
                <c:ptCount val="1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0</c:v>
                </c:pt>
                <c:pt idx="17">
                  <c:v>1</c:v>
                </c:pt>
              </c:numCache>
            </c:numRef>
          </c:val>
          <c:extLst>
            <c:ext xmlns:c16="http://schemas.microsoft.com/office/drawing/2014/chart" uri="{C3380CC4-5D6E-409C-BE32-E72D297353CC}">
              <c16:uniqueId val="{00000000-96FA-4034-B685-017AAE8E127A}"/>
            </c:ext>
          </c:extLst>
        </c:ser>
        <c:dLbls>
          <c:showLegendKey val="0"/>
          <c:showVal val="0"/>
          <c:showCatName val="0"/>
          <c:showSerName val="0"/>
          <c:showPercent val="0"/>
          <c:showBubbleSize val="0"/>
        </c:dLbls>
        <c:gapWidth val="150"/>
        <c:axId val="1228071871"/>
        <c:axId val="1"/>
      </c:barChart>
      <c:catAx>
        <c:axId val="1228071871"/>
        <c:scaling>
          <c:orientation val="minMax"/>
        </c:scaling>
        <c:delete val="0"/>
        <c:axPos val="b"/>
        <c:numFmt formatCode="General" sourceLinked="1"/>
        <c:majorTickMark val="out"/>
        <c:minorTickMark val="none"/>
        <c:tickLblPos val="nextTo"/>
        <c:spPr>
          <a:ln w="9525">
            <a:noFill/>
          </a:ln>
        </c:spPr>
        <c:txPr>
          <a:bodyPr rot="0" vert="horz"/>
          <a:lstStyle/>
          <a:p>
            <a:pPr>
              <a:defRPr sz="800" b="1" i="0" u="none" strike="noStrike" baseline="0">
                <a:solidFill>
                  <a:srgbClr val="000000"/>
                </a:solidFill>
                <a:latin typeface="Arial"/>
                <a:ea typeface="Arial"/>
                <a:cs typeface="Arial"/>
              </a:defRPr>
            </a:pPr>
            <a:endParaRPr lang="it-IT"/>
          </a:p>
        </c:txPr>
        <c:crossAx val="1"/>
        <c:crossesAt val="0"/>
        <c:auto val="1"/>
        <c:lblAlgn val="ctr"/>
        <c:lblOffset val="100"/>
        <c:tickLblSkip val="1"/>
        <c:tickMarkSkip val="1"/>
        <c:noMultiLvlLbl val="0"/>
      </c:catAx>
      <c:valAx>
        <c:axId val="1"/>
        <c:scaling>
          <c:orientation val="minMax"/>
          <c:max val="1"/>
        </c:scaling>
        <c:delete val="1"/>
        <c:axPos val="l"/>
        <c:numFmt formatCode="General" sourceLinked="1"/>
        <c:majorTickMark val="out"/>
        <c:minorTickMark val="none"/>
        <c:tickLblPos val="nextTo"/>
        <c:crossAx val="1228071871"/>
        <c:crosses val="autoZero"/>
        <c:crossBetween val="between"/>
        <c:majorUnit val="1"/>
        <c:minorUnit val="0.04"/>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351086942437187E-3"/>
          <c:y val="0.1383385643228163"/>
          <c:w val="0.9699115044247788"/>
          <c:h val="0.38947368421052631"/>
        </c:manualLayout>
      </c:layout>
      <c:barChart>
        <c:barDir val="col"/>
        <c:grouping val="clustered"/>
        <c:varyColors val="0"/>
        <c:ser>
          <c:idx val="0"/>
          <c:order val="0"/>
          <c:spPr>
            <a:solidFill>
              <a:srgbClr val="FF0000"/>
            </a:solidFill>
            <a:ln w="12700">
              <a:solidFill>
                <a:srgbClr val="000000"/>
              </a:solidFill>
              <a:prstDash val="solid"/>
            </a:ln>
          </c:spPr>
          <c:invertIfNegative val="0"/>
          <c:cat>
            <c:strRef>
              <c:f>SI_1!$E$222:$E$240</c:f>
              <c:strCache>
                <c:ptCount val="19"/>
                <c:pt idx="0">
                  <c:v>SQ 1</c:v>
                </c:pt>
                <c:pt idx="1">
                  <c:v>SQ 2</c:v>
                </c:pt>
                <c:pt idx="2">
                  <c:v>SQ 3</c:v>
                </c:pt>
                <c:pt idx="3">
                  <c:v>SQ 4</c:v>
                </c:pt>
                <c:pt idx="4">
                  <c:v>SQ 8</c:v>
                </c:pt>
                <c:pt idx="5">
                  <c:v>IN 1</c:v>
                </c:pt>
                <c:pt idx="6">
                  <c:v>IN 2</c:v>
                </c:pt>
                <c:pt idx="7">
                  <c:v>IN 4</c:v>
                </c:pt>
                <c:pt idx="8">
                  <c:v>IN 5</c:v>
                </c:pt>
                <c:pt idx="9">
                  <c:v>IN 6</c:v>
                </c:pt>
                <c:pt idx="10">
                  <c:v>IN 7</c:v>
                </c:pt>
                <c:pt idx="11">
                  <c:v>IN 8</c:v>
                </c:pt>
                <c:pt idx="12">
                  <c:v>IN 9</c:v>
                </c:pt>
                <c:pt idx="13">
                  <c:v>IN 10</c:v>
                </c:pt>
                <c:pt idx="14">
                  <c:v>IN 11</c:v>
                </c:pt>
                <c:pt idx="15">
                  <c:v>IN 12</c:v>
                </c:pt>
                <c:pt idx="16">
                  <c:v>IN 13</c:v>
                </c:pt>
                <c:pt idx="17">
                  <c:v>IN 14</c:v>
                </c:pt>
                <c:pt idx="18">
                  <c:v>IN 17</c:v>
                </c:pt>
              </c:strCache>
            </c:strRef>
          </c:cat>
          <c:val>
            <c:numRef>
              <c:f>SI_1!$F$222:$F$240</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1</c:v>
                </c:pt>
                <c:pt idx="12">
                  <c:v>0</c:v>
                </c:pt>
                <c:pt idx="13">
                  <c:v>0</c:v>
                </c:pt>
                <c:pt idx="14">
                  <c:v>0</c:v>
                </c:pt>
                <c:pt idx="15">
                  <c:v>0</c:v>
                </c:pt>
                <c:pt idx="16">
                  <c:v>0</c:v>
                </c:pt>
                <c:pt idx="17">
                  <c:v>0</c:v>
                </c:pt>
                <c:pt idx="18">
                  <c:v>1</c:v>
                </c:pt>
              </c:numCache>
            </c:numRef>
          </c:val>
          <c:extLst>
            <c:ext xmlns:c16="http://schemas.microsoft.com/office/drawing/2014/chart" uri="{C3380CC4-5D6E-409C-BE32-E72D297353CC}">
              <c16:uniqueId val="{00000000-0928-4F62-B633-58A122243F66}"/>
            </c:ext>
          </c:extLst>
        </c:ser>
        <c:dLbls>
          <c:showLegendKey val="0"/>
          <c:showVal val="0"/>
          <c:showCatName val="0"/>
          <c:showSerName val="0"/>
          <c:showPercent val="0"/>
          <c:showBubbleSize val="0"/>
        </c:dLbls>
        <c:gapWidth val="150"/>
        <c:axId val="1159314399"/>
        <c:axId val="1"/>
      </c:barChart>
      <c:catAx>
        <c:axId val="1159314399"/>
        <c:scaling>
          <c:orientation val="minMax"/>
        </c:scaling>
        <c:delete val="0"/>
        <c:axPos val="b"/>
        <c:numFmt formatCode="General" sourceLinked="1"/>
        <c:majorTickMark val="out"/>
        <c:minorTickMark val="none"/>
        <c:tickLblPos val="nextTo"/>
        <c:spPr>
          <a:ln w="9525">
            <a:noFill/>
          </a:ln>
        </c:spPr>
        <c:txPr>
          <a:bodyPr rot="0" vert="horz"/>
          <a:lstStyle/>
          <a:p>
            <a:pPr>
              <a:defRPr sz="800" b="1" i="0" u="none" strike="noStrike" baseline="0">
                <a:solidFill>
                  <a:srgbClr val="000000"/>
                </a:solidFill>
                <a:latin typeface="Arial"/>
                <a:ea typeface="Arial"/>
                <a:cs typeface="Arial"/>
              </a:defRPr>
            </a:pPr>
            <a:endParaRPr lang="it-IT"/>
          </a:p>
        </c:txPr>
        <c:crossAx val="1"/>
        <c:crosses val="autoZero"/>
        <c:auto val="1"/>
        <c:lblAlgn val="ctr"/>
        <c:lblOffset val="100"/>
        <c:tickLblSkip val="1"/>
        <c:tickMarkSkip val="1"/>
        <c:noMultiLvlLbl val="0"/>
      </c:catAx>
      <c:valAx>
        <c:axId val="1"/>
        <c:scaling>
          <c:orientation val="minMax"/>
        </c:scaling>
        <c:delete val="1"/>
        <c:axPos val="l"/>
        <c:numFmt formatCode="General" sourceLinked="1"/>
        <c:majorTickMark val="out"/>
        <c:minorTickMark val="none"/>
        <c:tickLblPos val="nextTo"/>
        <c:crossAx val="1159314399"/>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paperSize="9" orientation="landscape" horizontalDpi="0" verticalDpi="0"/>
  </c:printSettings>
</c:chartSpace>
</file>

<file path=xl/ctrlProps/ctrlProp1.xml><?xml version="1.0" encoding="utf-8"?>
<formControlPr xmlns="http://schemas.microsoft.com/office/spreadsheetml/2009/9/main" objectType="Drop" dropStyle="combo" dx="26" fmlaLink="$AK$3" fmlaRange="$AK$1:$AK$2" noThreeD="1" sel="2" val="0"/>
</file>

<file path=xl/ctrlProps/ctrlProp2.xml><?xml version="1.0" encoding="utf-8"?>
<formControlPr xmlns="http://schemas.microsoft.com/office/spreadsheetml/2009/9/main" objectType="Drop" dropStyle="combo" dx="26" fmlaLink="$G$22" fmlaRange="$G$20:$G$21" noThreeD="1" sel="2"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216</xdr:row>
      <xdr:rowOff>0</xdr:rowOff>
    </xdr:from>
    <xdr:to>
      <xdr:col>4</xdr:col>
      <xdr:colOff>105410</xdr:colOff>
      <xdr:row>216</xdr:row>
      <xdr:rowOff>190500</xdr:rowOff>
    </xdr:to>
    <xdr:sp macro="" textlink="">
      <xdr:nvSpPr>
        <xdr:cNvPr id="2607410" name="Text Box 7">
          <a:extLst>
            <a:ext uri="{FF2B5EF4-FFF2-40B4-BE49-F238E27FC236}">
              <a16:creationId xmlns:a16="http://schemas.microsoft.com/office/drawing/2014/main" id="{00000000-0008-0000-0000-000032C92700}"/>
            </a:ext>
          </a:extLst>
        </xdr:cNvPr>
        <xdr:cNvSpPr txBox="1">
          <a:spLocks noChangeArrowheads="1"/>
        </xdr:cNvSpPr>
      </xdr:nvSpPr>
      <xdr:spPr bwMode="auto">
        <a:xfrm>
          <a:off x="4472940" y="17762220"/>
          <a:ext cx="9906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579120</xdr:colOff>
      <xdr:row>31</xdr:row>
      <xdr:rowOff>0</xdr:rowOff>
    </xdr:from>
    <xdr:to>
      <xdr:col>3</xdr:col>
      <xdr:colOff>579120</xdr:colOff>
      <xdr:row>31</xdr:row>
      <xdr:rowOff>0</xdr:rowOff>
    </xdr:to>
    <xdr:sp macro="" textlink="">
      <xdr:nvSpPr>
        <xdr:cNvPr id="2607411" name="Line 8">
          <a:extLst>
            <a:ext uri="{FF2B5EF4-FFF2-40B4-BE49-F238E27FC236}">
              <a16:creationId xmlns:a16="http://schemas.microsoft.com/office/drawing/2014/main" id="{00000000-0008-0000-0000-000033C92700}"/>
            </a:ext>
          </a:extLst>
        </xdr:cNvPr>
        <xdr:cNvSpPr>
          <a:spLocks noChangeShapeType="1"/>
        </xdr:cNvSpPr>
      </xdr:nvSpPr>
      <xdr:spPr bwMode="auto">
        <a:xfrm>
          <a:off x="3962400" y="67589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640080</xdr:colOff>
      <xdr:row>31</xdr:row>
      <xdr:rowOff>0</xdr:rowOff>
    </xdr:from>
    <xdr:to>
      <xdr:col>5</xdr:col>
      <xdr:colOff>640080</xdr:colOff>
      <xdr:row>31</xdr:row>
      <xdr:rowOff>0</xdr:rowOff>
    </xdr:to>
    <xdr:sp macro="" textlink="">
      <xdr:nvSpPr>
        <xdr:cNvPr id="2607412" name="Line 9">
          <a:extLst>
            <a:ext uri="{FF2B5EF4-FFF2-40B4-BE49-F238E27FC236}">
              <a16:creationId xmlns:a16="http://schemas.microsoft.com/office/drawing/2014/main" id="{00000000-0008-0000-0000-000034C92700}"/>
            </a:ext>
          </a:extLst>
        </xdr:cNvPr>
        <xdr:cNvSpPr>
          <a:spLocks noChangeShapeType="1"/>
        </xdr:cNvSpPr>
      </xdr:nvSpPr>
      <xdr:spPr bwMode="auto">
        <a:xfrm>
          <a:off x="7284720" y="67589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xdr:colOff>
      <xdr:row>216</xdr:row>
      <xdr:rowOff>0</xdr:rowOff>
    </xdr:from>
    <xdr:to>
      <xdr:col>7</xdr:col>
      <xdr:colOff>0</xdr:colOff>
      <xdr:row>217</xdr:row>
      <xdr:rowOff>114300</xdr:rowOff>
    </xdr:to>
    <xdr:graphicFrame macro="">
      <xdr:nvGraphicFramePr>
        <xdr:cNvPr id="2607413" name="Chart 19">
          <a:extLst>
            <a:ext uri="{FF2B5EF4-FFF2-40B4-BE49-F238E27FC236}">
              <a16:creationId xmlns:a16="http://schemas.microsoft.com/office/drawing/2014/main" id="{00000000-0008-0000-0000-000035C9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342900</xdr:colOff>
      <xdr:row>218</xdr:row>
      <xdr:rowOff>15240</xdr:rowOff>
    </xdr:from>
    <xdr:to>
      <xdr:col>10</xdr:col>
      <xdr:colOff>15240</xdr:colOff>
      <xdr:row>220</xdr:row>
      <xdr:rowOff>205740</xdr:rowOff>
    </xdr:to>
    <xdr:graphicFrame macro="">
      <xdr:nvGraphicFramePr>
        <xdr:cNvPr id="2607414" name="Chart 20">
          <a:extLst>
            <a:ext uri="{FF2B5EF4-FFF2-40B4-BE49-F238E27FC236}">
              <a16:creationId xmlns:a16="http://schemas.microsoft.com/office/drawing/2014/main" id="{00000000-0008-0000-0000-000036C9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335280</xdr:colOff>
      <xdr:row>0</xdr:row>
      <xdr:rowOff>53975</xdr:rowOff>
    </xdr:from>
    <xdr:to>
      <xdr:col>6</xdr:col>
      <xdr:colOff>1336062</xdr:colOff>
      <xdr:row>0</xdr:row>
      <xdr:rowOff>533486</xdr:rowOff>
    </xdr:to>
    <xdr:sp macro="" textlink="">
      <xdr:nvSpPr>
        <xdr:cNvPr id="63612" name="Testo 1">
          <a:extLst>
            <a:ext uri="{FF2B5EF4-FFF2-40B4-BE49-F238E27FC236}">
              <a16:creationId xmlns:a16="http://schemas.microsoft.com/office/drawing/2014/main" id="{00000000-0008-0000-0000-00007CF80000}"/>
            </a:ext>
          </a:extLst>
        </xdr:cNvPr>
        <xdr:cNvSpPr>
          <a:spLocks noChangeArrowheads="1"/>
        </xdr:cNvSpPr>
      </xdr:nvSpPr>
      <xdr:spPr bwMode="auto">
        <a:xfrm>
          <a:off x="352425" y="66675"/>
          <a:ext cx="9763125" cy="466725"/>
        </a:xfrm>
        <a:prstGeom prst="roundRect">
          <a:avLst>
            <a:gd name="adj" fmla="val 16667"/>
          </a:avLst>
        </a:prstGeom>
        <a:solidFill>
          <a:srgbClr val="C0C0C0"/>
        </a:solidFill>
        <a:ln w="9525">
          <a:solidFill>
            <a:srgbClr val="000000"/>
          </a:solidFill>
          <a:round/>
          <a:headEnd/>
          <a:tailEnd/>
        </a:ln>
        <a:effectLst>
          <a:outerShdw dist="35921" dir="2700000" algn="ctr" rotWithShape="0">
            <a:srgbClr val="000000"/>
          </a:outerShdw>
        </a:effectLst>
      </xdr:spPr>
      <xdr:txBody>
        <a:bodyPr vertOverflow="clip" wrap="square" lIns="45720" tIns="36576" rIns="45720" bIns="36576" anchor="ctr" upright="1"/>
        <a:lstStyle/>
        <a:p>
          <a:pPr algn="ctr" rtl="0">
            <a:defRPr sz="1000"/>
          </a:pPr>
          <a:r>
            <a:rPr lang="it-IT" sz="1800" b="1" i="0" strike="noStrike">
              <a:solidFill>
                <a:srgbClr val="000000"/>
              </a:solidFill>
              <a:latin typeface="Arial"/>
              <a:cs typeface="Arial"/>
            </a:rPr>
            <a:t>Scheda Informativa 1: INFORMAZIONI  DI CARATTERE GENERALE</a:t>
          </a:r>
        </a:p>
      </xdr:txBody>
    </xdr:sp>
    <xdr:clientData/>
  </xdr:twoCellAnchor>
  <xdr:twoCellAnchor>
    <xdr:from>
      <xdr:col>3</xdr:col>
      <xdr:colOff>579120</xdr:colOff>
      <xdr:row>37</xdr:row>
      <xdr:rowOff>0</xdr:rowOff>
    </xdr:from>
    <xdr:to>
      <xdr:col>3</xdr:col>
      <xdr:colOff>579120</xdr:colOff>
      <xdr:row>37</xdr:row>
      <xdr:rowOff>0</xdr:rowOff>
    </xdr:to>
    <xdr:sp macro="" textlink="">
      <xdr:nvSpPr>
        <xdr:cNvPr id="2607416" name="Line 8">
          <a:extLst>
            <a:ext uri="{FF2B5EF4-FFF2-40B4-BE49-F238E27FC236}">
              <a16:creationId xmlns:a16="http://schemas.microsoft.com/office/drawing/2014/main" id="{00000000-0008-0000-0000-000038C92700}"/>
            </a:ext>
          </a:extLst>
        </xdr:cNvPr>
        <xdr:cNvSpPr>
          <a:spLocks noChangeShapeType="1"/>
        </xdr:cNvSpPr>
      </xdr:nvSpPr>
      <xdr:spPr bwMode="auto">
        <a:xfrm>
          <a:off x="3962400" y="797052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640080</xdr:colOff>
      <xdr:row>37</xdr:row>
      <xdr:rowOff>0</xdr:rowOff>
    </xdr:from>
    <xdr:to>
      <xdr:col>5</xdr:col>
      <xdr:colOff>640080</xdr:colOff>
      <xdr:row>37</xdr:row>
      <xdr:rowOff>0</xdr:rowOff>
    </xdr:to>
    <xdr:sp macro="" textlink="">
      <xdr:nvSpPr>
        <xdr:cNvPr id="2607417" name="Line 9">
          <a:extLst>
            <a:ext uri="{FF2B5EF4-FFF2-40B4-BE49-F238E27FC236}">
              <a16:creationId xmlns:a16="http://schemas.microsoft.com/office/drawing/2014/main" id="{00000000-0008-0000-0000-000039C92700}"/>
            </a:ext>
          </a:extLst>
        </xdr:cNvPr>
        <xdr:cNvSpPr>
          <a:spLocks noChangeShapeType="1"/>
        </xdr:cNvSpPr>
      </xdr:nvSpPr>
      <xdr:spPr bwMode="auto">
        <a:xfrm>
          <a:off x="7284720" y="797052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579120</xdr:colOff>
      <xdr:row>31</xdr:row>
      <xdr:rowOff>0</xdr:rowOff>
    </xdr:from>
    <xdr:to>
      <xdr:col>3</xdr:col>
      <xdr:colOff>579120</xdr:colOff>
      <xdr:row>31</xdr:row>
      <xdr:rowOff>0</xdr:rowOff>
    </xdr:to>
    <xdr:sp macro="" textlink="">
      <xdr:nvSpPr>
        <xdr:cNvPr id="2607418" name="Line 8">
          <a:extLst>
            <a:ext uri="{FF2B5EF4-FFF2-40B4-BE49-F238E27FC236}">
              <a16:creationId xmlns:a16="http://schemas.microsoft.com/office/drawing/2014/main" id="{00000000-0008-0000-0000-00003AC92700}"/>
            </a:ext>
          </a:extLst>
        </xdr:cNvPr>
        <xdr:cNvSpPr>
          <a:spLocks noChangeShapeType="1"/>
        </xdr:cNvSpPr>
      </xdr:nvSpPr>
      <xdr:spPr bwMode="auto">
        <a:xfrm>
          <a:off x="3962400" y="67589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640080</xdr:colOff>
      <xdr:row>31</xdr:row>
      <xdr:rowOff>0</xdr:rowOff>
    </xdr:from>
    <xdr:to>
      <xdr:col>5</xdr:col>
      <xdr:colOff>640080</xdr:colOff>
      <xdr:row>31</xdr:row>
      <xdr:rowOff>0</xdr:rowOff>
    </xdr:to>
    <xdr:sp macro="" textlink="">
      <xdr:nvSpPr>
        <xdr:cNvPr id="2607419" name="Line 9">
          <a:extLst>
            <a:ext uri="{FF2B5EF4-FFF2-40B4-BE49-F238E27FC236}">
              <a16:creationId xmlns:a16="http://schemas.microsoft.com/office/drawing/2014/main" id="{00000000-0008-0000-0000-00003BC92700}"/>
            </a:ext>
          </a:extLst>
        </xdr:cNvPr>
        <xdr:cNvSpPr>
          <a:spLocks noChangeShapeType="1"/>
        </xdr:cNvSpPr>
      </xdr:nvSpPr>
      <xdr:spPr bwMode="auto">
        <a:xfrm>
          <a:off x="7284720" y="67589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47625</xdr:rowOff>
    </xdr:from>
    <xdr:to>
      <xdr:col>11</xdr:col>
      <xdr:colOff>355600</xdr:colOff>
      <xdr:row>1</xdr:row>
      <xdr:rowOff>279400</xdr:rowOff>
    </xdr:to>
    <xdr:sp macro="" textlink="">
      <xdr:nvSpPr>
        <xdr:cNvPr id="23553" name="Testo 13">
          <a:extLst>
            <a:ext uri="{FF2B5EF4-FFF2-40B4-BE49-F238E27FC236}">
              <a16:creationId xmlns:a16="http://schemas.microsoft.com/office/drawing/2014/main" id="{00000000-0008-0000-0900-0000015C0000}"/>
            </a:ext>
          </a:extLst>
        </xdr:cNvPr>
        <xdr:cNvSpPr txBox="1">
          <a:spLocks noChangeArrowheads="1"/>
        </xdr:cNvSpPr>
      </xdr:nvSpPr>
      <xdr:spPr bwMode="auto">
        <a:xfrm>
          <a:off x="0" y="600075"/>
          <a:ext cx="8534400" cy="2317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7</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900" b="0" i="0" strike="noStrike">
              <a:solidFill>
                <a:srgbClr val="000000"/>
              </a:solidFill>
              <a:latin typeface="Arial"/>
              <a:cs typeface="Arial"/>
            </a:rPr>
            <a:t>Personale a tempo indeterminato e personale dirigente distribuito per classi di anzianità di servizio al 31 dicembre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29845</xdr:rowOff>
    </xdr:from>
    <xdr:to>
      <xdr:col>12</xdr:col>
      <xdr:colOff>5091</xdr:colOff>
      <xdr:row>1</xdr:row>
      <xdr:rowOff>266995</xdr:rowOff>
    </xdr:to>
    <xdr:sp macro="" textlink="">
      <xdr:nvSpPr>
        <xdr:cNvPr id="22529" name="Testo 13">
          <a:extLst>
            <a:ext uri="{FF2B5EF4-FFF2-40B4-BE49-F238E27FC236}">
              <a16:creationId xmlns:a16="http://schemas.microsoft.com/office/drawing/2014/main" id="{00000000-0008-0000-0A00-000001580000}"/>
            </a:ext>
          </a:extLst>
        </xdr:cNvPr>
        <xdr:cNvSpPr txBox="1">
          <a:spLocks noChangeArrowheads="1"/>
        </xdr:cNvSpPr>
      </xdr:nvSpPr>
      <xdr:spPr bwMode="auto">
        <a:xfrm>
          <a:off x="0" y="581025"/>
          <a:ext cx="7743825" cy="23812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8</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900" b="0" i="0" strike="noStrike">
              <a:solidFill>
                <a:srgbClr val="000000"/>
              </a:solidFill>
              <a:latin typeface="Arial"/>
              <a:cs typeface="Arial"/>
            </a:rPr>
            <a:t>Personale a tempo indeterminato e personale dirigente distribuito per classi di età al 31 dicembre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38100</xdr:rowOff>
    </xdr:from>
    <xdr:to>
      <xdr:col>7</xdr:col>
      <xdr:colOff>695934</xdr:colOff>
      <xdr:row>2</xdr:row>
      <xdr:rowOff>289002</xdr:rowOff>
    </xdr:to>
    <xdr:sp macro="" textlink="">
      <xdr:nvSpPr>
        <xdr:cNvPr id="21505" name="Testo 2">
          <a:extLst>
            <a:ext uri="{FF2B5EF4-FFF2-40B4-BE49-F238E27FC236}">
              <a16:creationId xmlns:a16="http://schemas.microsoft.com/office/drawing/2014/main" id="{00000000-0008-0000-0B00-000001540000}"/>
            </a:ext>
          </a:extLst>
        </xdr:cNvPr>
        <xdr:cNvSpPr txBox="1">
          <a:spLocks noChangeArrowheads="1"/>
        </xdr:cNvSpPr>
      </xdr:nvSpPr>
      <xdr:spPr bwMode="auto">
        <a:xfrm>
          <a:off x="0" y="657225"/>
          <a:ext cx="7781925"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9 - </a:t>
          </a:r>
          <a:r>
            <a:rPr lang="it-IT" sz="900" b="0" i="0" strike="noStrike">
              <a:solidFill>
                <a:srgbClr val="000000"/>
              </a:solidFill>
              <a:latin typeface="Arial"/>
              <a:cs typeface="Arial"/>
            </a:rPr>
            <a:t>Personale dipendente a tempo indeterminato e personale dirigente distribuito per titolo di studio posseduto al 31 dicembre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22225</xdr:rowOff>
    </xdr:from>
    <xdr:to>
      <xdr:col>28</xdr:col>
      <xdr:colOff>117480</xdr:colOff>
      <xdr:row>1</xdr:row>
      <xdr:rowOff>285829</xdr:rowOff>
    </xdr:to>
    <xdr:sp macro="" textlink="">
      <xdr:nvSpPr>
        <xdr:cNvPr id="60417" name="Testo 3">
          <a:extLst>
            <a:ext uri="{FF2B5EF4-FFF2-40B4-BE49-F238E27FC236}">
              <a16:creationId xmlns:a16="http://schemas.microsoft.com/office/drawing/2014/main" id="{00000000-0008-0000-0C00-000001EC0000}"/>
            </a:ext>
          </a:extLst>
        </xdr:cNvPr>
        <xdr:cNvSpPr txBox="1">
          <a:spLocks noChangeArrowheads="1"/>
        </xdr:cNvSpPr>
      </xdr:nvSpPr>
      <xdr:spPr bwMode="auto">
        <a:xfrm>
          <a:off x="0" y="577215"/>
          <a:ext cx="489966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11</a:t>
          </a:r>
          <a:r>
            <a:rPr lang="it-IT" sz="900" b="1" i="0" strike="noStrike">
              <a:solidFill>
                <a:srgbClr val="000000"/>
              </a:solidFill>
              <a:latin typeface="Arial"/>
              <a:cs typeface="Arial"/>
            </a:rPr>
            <a:t> </a:t>
          </a:r>
          <a:r>
            <a:rPr lang="it-IT" sz="900" b="0" i="0" strike="noStrike">
              <a:solidFill>
                <a:srgbClr val="000000"/>
              </a:solidFill>
              <a:latin typeface="Arial"/>
              <a:cs typeface="Arial"/>
            </a:rPr>
            <a:t>- Numero giorni di assenza del personale in servizio nel corso dell'anno</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xdr:row>
      <xdr:rowOff>38100</xdr:rowOff>
    </xdr:from>
    <xdr:to>
      <xdr:col>30</xdr:col>
      <xdr:colOff>222340</xdr:colOff>
      <xdr:row>1</xdr:row>
      <xdr:rowOff>269959</xdr:rowOff>
    </xdr:to>
    <xdr:sp macro="" textlink="">
      <xdr:nvSpPr>
        <xdr:cNvPr id="32769" name="Testo 3">
          <a:extLst>
            <a:ext uri="{FF2B5EF4-FFF2-40B4-BE49-F238E27FC236}">
              <a16:creationId xmlns:a16="http://schemas.microsoft.com/office/drawing/2014/main" id="{00000000-0008-0000-0D00-000001800000}"/>
            </a:ext>
          </a:extLst>
        </xdr:cNvPr>
        <xdr:cNvSpPr txBox="1">
          <a:spLocks noChangeArrowheads="1"/>
        </xdr:cNvSpPr>
      </xdr:nvSpPr>
      <xdr:spPr bwMode="auto">
        <a:xfrm>
          <a:off x="0" y="457200"/>
          <a:ext cx="6477000" cy="23812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12 </a:t>
          </a:r>
          <a:r>
            <a:rPr lang="it-IT" sz="1200" b="0" i="0" strike="noStrike">
              <a:solidFill>
                <a:srgbClr val="000000"/>
              </a:solidFill>
              <a:latin typeface="Arial"/>
              <a:cs typeface="Arial"/>
            </a:rPr>
            <a:t>-</a:t>
          </a:r>
          <a:r>
            <a:rPr lang="it-IT" sz="1200" b="1" i="0" strike="noStrike">
              <a:solidFill>
                <a:srgbClr val="000000"/>
              </a:solidFill>
              <a:latin typeface="Arial"/>
              <a:cs typeface="Arial"/>
            </a:rPr>
            <a:t> </a:t>
          </a:r>
          <a:r>
            <a:rPr lang="it-IT" sz="800" b="0" i="0" strike="noStrike">
              <a:solidFill>
                <a:srgbClr val="000000"/>
              </a:solidFill>
              <a:latin typeface="Arial"/>
              <a:cs typeface="Arial"/>
            </a:rPr>
            <a:t> </a:t>
          </a:r>
          <a:r>
            <a:rPr lang="it-IT" sz="1000" b="0" i="0" strike="noStrike">
              <a:solidFill>
                <a:srgbClr val="000000"/>
              </a:solidFill>
              <a:latin typeface="Arial"/>
              <a:cs typeface="Arial"/>
            </a:rPr>
            <a:t>oneri annui  per voci retributive a carattere "stipendiale" corrisposte al personale  in servizio (*)</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47625</xdr:rowOff>
    </xdr:from>
    <xdr:to>
      <xdr:col>30</xdr:col>
      <xdr:colOff>652927</xdr:colOff>
      <xdr:row>1</xdr:row>
      <xdr:rowOff>269875</xdr:rowOff>
    </xdr:to>
    <xdr:sp macro="" textlink="">
      <xdr:nvSpPr>
        <xdr:cNvPr id="31745" name="Testo 3">
          <a:extLst>
            <a:ext uri="{FF2B5EF4-FFF2-40B4-BE49-F238E27FC236}">
              <a16:creationId xmlns:a16="http://schemas.microsoft.com/office/drawing/2014/main" id="{00000000-0008-0000-0E00-0000017C0000}"/>
            </a:ext>
          </a:extLst>
        </xdr:cNvPr>
        <xdr:cNvSpPr txBox="1">
          <a:spLocks noChangeArrowheads="1"/>
        </xdr:cNvSpPr>
      </xdr:nvSpPr>
      <xdr:spPr bwMode="auto">
        <a:xfrm>
          <a:off x="0" y="504825"/>
          <a:ext cx="6591300" cy="22860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13 </a:t>
          </a:r>
          <a:r>
            <a:rPr lang="it-IT" sz="1200" b="0" i="0" strike="noStrike">
              <a:solidFill>
                <a:srgbClr val="000000"/>
              </a:solidFill>
              <a:latin typeface="Arial"/>
              <a:cs typeface="Arial"/>
            </a:rPr>
            <a:t>- </a:t>
          </a:r>
          <a:r>
            <a:rPr lang="it-IT" sz="1000" b="0" i="0" strike="noStrike">
              <a:solidFill>
                <a:srgbClr val="000000"/>
              </a:solidFill>
              <a:latin typeface="Arial"/>
              <a:cs typeface="Arial"/>
            </a:rPr>
            <a:t>oneri annui per indennità e compensi accessori corrisposti  al personale  in servizio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38100</xdr:rowOff>
    </xdr:from>
    <xdr:to>
      <xdr:col>0</xdr:col>
      <xdr:colOff>4639865</xdr:colOff>
      <xdr:row>1</xdr:row>
      <xdr:rowOff>266700</xdr:rowOff>
    </xdr:to>
    <xdr:sp macro="" textlink="">
      <xdr:nvSpPr>
        <xdr:cNvPr id="41986" name="Testo 4">
          <a:extLst>
            <a:ext uri="{FF2B5EF4-FFF2-40B4-BE49-F238E27FC236}">
              <a16:creationId xmlns:a16="http://schemas.microsoft.com/office/drawing/2014/main" id="{00000000-0008-0000-0F00-000002A40000}"/>
            </a:ext>
          </a:extLst>
        </xdr:cNvPr>
        <xdr:cNvSpPr txBox="1">
          <a:spLocks noChangeArrowheads="1"/>
        </xdr:cNvSpPr>
      </xdr:nvSpPr>
      <xdr:spPr bwMode="auto">
        <a:xfrm>
          <a:off x="0" y="586740"/>
          <a:ext cx="4678680" cy="22860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14</a:t>
          </a:r>
          <a:r>
            <a:rPr lang="it-IT" sz="800" b="0" i="0" strike="noStrike">
              <a:solidFill>
                <a:srgbClr val="000000"/>
              </a:solidFill>
              <a:latin typeface="Arial"/>
              <a:cs typeface="Arial"/>
            </a:rPr>
            <a:t> -  </a:t>
          </a:r>
          <a:r>
            <a:rPr lang="it-IT" sz="1000" b="0" i="0" strike="noStrike">
              <a:solidFill>
                <a:srgbClr val="000000"/>
              </a:solidFill>
              <a:latin typeface="Arial"/>
              <a:cs typeface="Arial"/>
            </a:rPr>
            <a:t>Altri oneri che concorrono a formare il costo del lavoro  (*)</a:t>
          </a:r>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21</xdr:row>
          <xdr:rowOff>68580</xdr:rowOff>
        </xdr:from>
        <xdr:to>
          <xdr:col>5</xdr:col>
          <xdr:colOff>0</xdr:colOff>
          <xdr:row>21</xdr:row>
          <xdr:rowOff>259080</xdr:rowOff>
        </xdr:to>
        <xdr:sp macro="" textlink="">
          <xdr:nvSpPr>
            <xdr:cNvPr id="42940" name="Drop Down 956" descr="No" hidden="1">
              <a:extLst>
                <a:ext uri="{63B3BB69-23CF-44E3-9099-C40C66FF867C}">
                  <a14:compatExt spid="_x0000_s42940"/>
                </a:ext>
                <a:ext uri="{FF2B5EF4-FFF2-40B4-BE49-F238E27FC236}">
                  <a16:creationId xmlns:a16="http://schemas.microsoft.com/office/drawing/2014/main" id="{00000000-0008-0000-0F00-0000BCA7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 uri="{53640926-AAD7-44D8-BBD7-CCE9431645EC}">
                <a14:shadowObscured val="1"/>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0</xdr:col>
      <xdr:colOff>1</xdr:colOff>
      <xdr:row>2</xdr:row>
      <xdr:rowOff>0</xdr:rowOff>
    </xdr:from>
    <xdr:to>
      <xdr:col>5</xdr:col>
      <xdr:colOff>1</xdr:colOff>
      <xdr:row>3</xdr:row>
      <xdr:rowOff>0</xdr:rowOff>
    </xdr:to>
    <xdr:sp macro="" textlink="">
      <xdr:nvSpPr>
        <xdr:cNvPr id="3" name="Testo 3">
          <a:extLst>
            <a:ext uri="{FF2B5EF4-FFF2-40B4-BE49-F238E27FC236}">
              <a16:creationId xmlns:a16="http://schemas.microsoft.com/office/drawing/2014/main" id="{00000000-0008-0000-1000-000003000000}"/>
            </a:ext>
          </a:extLst>
        </xdr:cNvPr>
        <xdr:cNvSpPr txBox="1">
          <a:spLocks noChangeArrowheads="1"/>
        </xdr:cNvSpPr>
      </xdr:nvSpPr>
      <xdr:spPr bwMode="auto">
        <a:xfrm>
          <a:off x="1" y="508000"/>
          <a:ext cx="9499600" cy="53340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ctr" anchorCtr="0" upright="1"/>
        <a:lstStyle/>
        <a:p>
          <a:pPr algn="l" rtl="0">
            <a:defRPr sz="1000"/>
          </a:pPr>
          <a:r>
            <a:rPr lang="it-IT" sz="1600" b="1" i="0" strike="noStrike">
              <a:solidFill>
                <a:srgbClr val="000000"/>
              </a:solidFill>
              <a:latin typeface="Arial"/>
              <a:cs typeface="Arial"/>
            </a:rPr>
            <a:t>Tabella </a:t>
          </a:r>
          <a:r>
            <a:rPr lang="it-IT" sz="1600" b="1" i="0" strike="noStrike">
              <a:solidFill>
                <a:srgbClr val="000000"/>
              </a:solidFill>
              <a:latin typeface="Arial" pitchFamily="34" charset="0"/>
              <a:cs typeface="Arial" pitchFamily="34" charset="0"/>
            </a:rPr>
            <a:t>15 </a:t>
          </a:r>
          <a:r>
            <a:rPr lang="it-IT" sz="1600" b="1" i="0">
              <a:latin typeface="Arial" pitchFamily="34" charset="0"/>
              <a:ea typeface="+mn-ea"/>
              <a:cs typeface="Arial" pitchFamily="34" charset="0"/>
            </a:rPr>
            <a:t>- </a:t>
          </a:r>
          <a:r>
            <a:rPr lang="it-IT" sz="1600" b="0" i="0">
              <a:latin typeface="Arial" pitchFamily="34" charset="0"/>
              <a:ea typeface="+mn-ea"/>
              <a:cs typeface="Arial" pitchFamily="34" charset="0"/>
            </a:rPr>
            <a:t>Fondi</a:t>
          </a:r>
          <a:r>
            <a:rPr lang="it-IT" sz="1600" b="0" i="0" baseline="0">
              <a:latin typeface="Arial" pitchFamily="34" charset="0"/>
              <a:ea typeface="+mn-ea"/>
              <a:cs typeface="Arial" pitchFamily="34" charset="0"/>
            </a:rPr>
            <a:t> per il trattamento accessorio	</a:t>
          </a:r>
          <a:r>
            <a:rPr lang="it-IT" sz="1600" b="1" i="0" strike="noStrike">
              <a:solidFill>
                <a:srgbClr val="000000"/>
              </a:solidFill>
              <a:latin typeface="Arial"/>
              <a:cs typeface="Arial"/>
            </a:rPr>
            <a:t>Macrocategoria: DIRIGENTI</a:t>
          </a:r>
        </a:p>
      </xdr:txBody>
    </xdr:sp>
    <xdr:clientData/>
  </xdr:twoCellAnchor>
  <xdr:twoCellAnchor>
    <xdr:from>
      <xdr:col>0</xdr:col>
      <xdr:colOff>1</xdr:colOff>
      <xdr:row>2</xdr:row>
      <xdr:rowOff>0</xdr:rowOff>
    </xdr:from>
    <xdr:to>
      <xdr:col>5</xdr:col>
      <xdr:colOff>1</xdr:colOff>
      <xdr:row>3</xdr:row>
      <xdr:rowOff>0</xdr:rowOff>
    </xdr:to>
    <xdr:sp macro="" textlink="">
      <xdr:nvSpPr>
        <xdr:cNvPr id="4" name="Testo 3">
          <a:extLst>
            <a:ext uri="{FF2B5EF4-FFF2-40B4-BE49-F238E27FC236}">
              <a16:creationId xmlns:a16="http://schemas.microsoft.com/office/drawing/2014/main" id="{00000000-0008-0000-1000-000004000000}"/>
            </a:ext>
          </a:extLst>
        </xdr:cNvPr>
        <xdr:cNvSpPr txBox="1">
          <a:spLocks noChangeArrowheads="1"/>
        </xdr:cNvSpPr>
      </xdr:nvSpPr>
      <xdr:spPr bwMode="auto">
        <a:xfrm>
          <a:off x="1" y="762000"/>
          <a:ext cx="9448800" cy="53340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ctr" anchorCtr="0" upright="1"/>
        <a:lstStyle/>
        <a:p>
          <a:pPr algn="l" rtl="0">
            <a:defRPr sz="1000"/>
          </a:pPr>
          <a:r>
            <a:rPr lang="it-IT" sz="1600" b="1" i="0" strike="noStrike">
              <a:solidFill>
                <a:srgbClr val="000000"/>
              </a:solidFill>
              <a:latin typeface="Arial"/>
              <a:cs typeface="Arial"/>
            </a:rPr>
            <a:t>Tabella </a:t>
          </a:r>
          <a:r>
            <a:rPr lang="it-IT" sz="1600" b="1" i="0" strike="noStrike">
              <a:solidFill>
                <a:srgbClr val="000000"/>
              </a:solidFill>
              <a:latin typeface="Arial" pitchFamily="34" charset="0"/>
              <a:cs typeface="Arial" pitchFamily="34" charset="0"/>
            </a:rPr>
            <a:t>15 </a:t>
          </a:r>
          <a:r>
            <a:rPr lang="it-IT" sz="1600" b="1" i="0">
              <a:latin typeface="Arial" pitchFamily="34" charset="0"/>
              <a:ea typeface="+mn-ea"/>
              <a:cs typeface="Arial" pitchFamily="34" charset="0"/>
            </a:rPr>
            <a:t>- </a:t>
          </a:r>
          <a:r>
            <a:rPr lang="it-IT" sz="1600" b="0" i="0">
              <a:latin typeface="Arial" pitchFamily="34" charset="0"/>
              <a:ea typeface="+mn-ea"/>
              <a:cs typeface="Arial" pitchFamily="34" charset="0"/>
            </a:rPr>
            <a:t>Fondi</a:t>
          </a:r>
          <a:r>
            <a:rPr lang="it-IT" sz="1600" b="0" i="0" baseline="0">
              <a:latin typeface="Arial" pitchFamily="34" charset="0"/>
              <a:ea typeface="+mn-ea"/>
              <a:cs typeface="Arial" pitchFamily="34" charset="0"/>
            </a:rPr>
            <a:t> per il trattamento accessorio	</a:t>
          </a:r>
          <a:r>
            <a:rPr lang="it-IT" sz="1600" b="1" i="0" strike="noStrike">
              <a:solidFill>
                <a:srgbClr val="000000"/>
              </a:solidFill>
              <a:latin typeface="Arial"/>
              <a:cs typeface="Arial"/>
            </a:rPr>
            <a:t>Macrocategoria:  PERSONALE DOCENTE E PERSONALE TECNICO AMMINISTRATIVO</a:t>
          </a:r>
        </a:p>
      </xdr:txBody>
    </xdr:sp>
    <xdr:clientData/>
  </xdr:twoCellAnchor>
  <xdr:twoCellAnchor>
    <xdr:from>
      <xdr:col>0</xdr:col>
      <xdr:colOff>1</xdr:colOff>
      <xdr:row>2</xdr:row>
      <xdr:rowOff>0</xdr:rowOff>
    </xdr:from>
    <xdr:to>
      <xdr:col>5</xdr:col>
      <xdr:colOff>1</xdr:colOff>
      <xdr:row>3</xdr:row>
      <xdr:rowOff>0</xdr:rowOff>
    </xdr:to>
    <xdr:sp macro="" textlink="">
      <xdr:nvSpPr>
        <xdr:cNvPr id="2" name="Testo 3">
          <a:extLst>
            <a:ext uri="{FF2B5EF4-FFF2-40B4-BE49-F238E27FC236}">
              <a16:creationId xmlns:a16="http://schemas.microsoft.com/office/drawing/2014/main" id="{00000000-0008-0000-1000-000002000000}"/>
            </a:ext>
          </a:extLst>
        </xdr:cNvPr>
        <xdr:cNvSpPr txBox="1">
          <a:spLocks noChangeArrowheads="1"/>
        </xdr:cNvSpPr>
      </xdr:nvSpPr>
      <xdr:spPr bwMode="auto">
        <a:xfrm>
          <a:off x="1" y="742950"/>
          <a:ext cx="9448800" cy="5619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ctr" anchorCtr="0" upright="1"/>
        <a:lstStyle/>
        <a:p>
          <a:pPr algn="l" rtl="0">
            <a:defRPr sz="1000"/>
          </a:pPr>
          <a:r>
            <a:rPr lang="it-IT" sz="1600" b="1" i="0" strike="noStrike">
              <a:solidFill>
                <a:srgbClr val="000000"/>
              </a:solidFill>
              <a:latin typeface="Arial"/>
              <a:cs typeface="Arial"/>
            </a:rPr>
            <a:t>Tabella </a:t>
          </a:r>
          <a:r>
            <a:rPr lang="it-IT" sz="1600" b="1" i="0" strike="noStrike">
              <a:solidFill>
                <a:srgbClr val="000000"/>
              </a:solidFill>
              <a:latin typeface="Arial" pitchFamily="34" charset="0"/>
              <a:cs typeface="Arial" pitchFamily="34" charset="0"/>
            </a:rPr>
            <a:t>15 </a:t>
          </a:r>
          <a:r>
            <a:rPr lang="it-IT" sz="1600" b="1" i="0">
              <a:latin typeface="Arial" pitchFamily="34" charset="0"/>
              <a:ea typeface="+mn-ea"/>
              <a:cs typeface="Arial" pitchFamily="34" charset="0"/>
            </a:rPr>
            <a:t>- </a:t>
          </a:r>
          <a:r>
            <a:rPr lang="it-IT" sz="1600" b="0" i="0">
              <a:latin typeface="Arial" pitchFamily="34" charset="0"/>
              <a:ea typeface="+mn-ea"/>
              <a:cs typeface="Arial" pitchFamily="34" charset="0"/>
            </a:rPr>
            <a:t>Fondi</a:t>
          </a:r>
          <a:r>
            <a:rPr lang="it-IT" sz="1600" b="0" i="0" baseline="0">
              <a:latin typeface="Arial" pitchFamily="34" charset="0"/>
              <a:ea typeface="+mn-ea"/>
              <a:cs typeface="Arial" pitchFamily="34" charset="0"/>
            </a:rPr>
            <a:t> per il trattamento accessorio	</a:t>
          </a:r>
          <a:r>
            <a:rPr lang="it-IT" sz="1600" b="1" i="0" strike="noStrike">
              <a:solidFill>
                <a:srgbClr val="000000"/>
              </a:solidFill>
              <a:latin typeface="Arial"/>
              <a:cs typeface="Arial"/>
            </a:rPr>
            <a:t>Macrocategoria: DIRIGENTI</a:t>
          </a:r>
        </a:p>
      </xdr:txBody>
    </xdr:sp>
    <xdr:clientData/>
  </xdr:twoCellAnchor>
  <xdr:twoCellAnchor>
    <xdr:from>
      <xdr:col>0</xdr:col>
      <xdr:colOff>1</xdr:colOff>
      <xdr:row>2</xdr:row>
      <xdr:rowOff>0</xdr:rowOff>
    </xdr:from>
    <xdr:to>
      <xdr:col>5</xdr:col>
      <xdr:colOff>1</xdr:colOff>
      <xdr:row>3</xdr:row>
      <xdr:rowOff>0</xdr:rowOff>
    </xdr:to>
    <xdr:sp macro="" textlink="">
      <xdr:nvSpPr>
        <xdr:cNvPr id="5" name="Testo 3">
          <a:extLst>
            <a:ext uri="{FF2B5EF4-FFF2-40B4-BE49-F238E27FC236}">
              <a16:creationId xmlns:a16="http://schemas.microsoft.com/office/drawing/2014/main" id="{00000000-0008-0000-1000-000005000000}"/>
            </a:ext>
          </a:extLst>
        </xdr:cNvPr>
        <xdr:cNvSpPr txBox="1">
          <a:spLocks noChangeArrowheads="1"/>
        </xdr:cNvSpPr>
      </xdr:nvSpPr>
      <xdr:spPr bwMode="auto">
        <a:xfrm>
          <a:off x="1" y="742950"/>
          <a:ext cx="9448800" cy="5619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ctr" anchorCtr="0" upright="1"/>
        <a:lstStyle/>
        <a:p>
          <a:pPr algn="l" rtl="0">
            <a:defRPr sz="1000"/>
          </a:pPr>
          <a:r>
            <a:rPr lang="it-IT" sz="1600" b="1" i="0" strike="noStrike">
              <a:solidFill>
                <a:srgbClr val="000000"/>
              </a:solidFill>
              <a:latin typeface="Arial"/>
              <a:cs typeface="Arial"/>
            </a:rPr>
            <a:t>Tabella </a:t>
          </a:r>
          <a:r>
            <a:rPr lang="it-IT" sz="1600" b="1" i="0" strike="noStrike">
              <a:solidFill>
                <a:srgbClr val="000000"/>
              </a:solidFill>
              <a:latin typeface="Arial" pitchFamily="34" charset="0"/>
              <a:cs typeface="Arial" pitchFamily="34" charset="0"/>
            </a:rPr>
            <a:t>15 </a:t>
          </a:r>
          <a:r>
            <a:rPr lang="it-IT" sz="1600" b="1" i="0">
              <a:latin typeface="Arial" pitchFamily="34" charset="0"/>
              <a:ea typeface="+mn-ea"/>
              <a:cs typeface="Arial" pitchFamily="34" charset="0"/>
            </a:rPr>
            <a:t>- </a:t>
          </a:r>
          <a:r>
            <a:rPr lang="it-IT" sz="1600" b="0" i="0">
              <a:latin typeface="Arial" pitchFamily="34" charset="0"/>
              <a:ea typeface="+mn-ea"/>
              <a:cs typeface="Arial" pitchFamily="34" charset="0"/>
            </a:rPr>
            <a:t>Fondi</a:t>
          </a:r>
          <a:r>
            <a:rPr lang="it-IT" sz="1600" b="0" i="0" baseline="0">
              <a:latin typeface="Arial" pitchFamily="34" charset="0"/>
              <a:ea typeface="+mn-ea"/>
              <a:cs typeface="Arial" pitchFamily="34" charset="0"/>
            </a:rPr>
            <a:t> per il trattamento accessorio	</a:t>
          </a:r>
          <a:r>
            <a:rPr lang="it-IT" sz="1600" b="1" i="0" strike="noStrike">
              <a:solidFill>
                <a:srgbClr val="000000"/>
              </a:solidFill>
              <a:latin typeface="Arial"/>
              <a:cs typeface="Arial"/>
            </a:rPr>
            <a:t>Macrocategoria:  PERSONALE DOCENTE E PERSONALE TECNICO AMMINISTRATIVO</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38100</xdr:rowOff>
    </xdr:from>
    <xdr:to>
      <xdr:col>0</xdr:col>
      <xdr:colOff>4347467</xdr:colOff>
      <xdr:row>1</xdr:row>
      <xdr:rowOff>266700</xdr:rowOff>
    </xdr:to>
    <xdr:sp macro="" textlink="">
      <xdr:nvSpPr>
        <xdr:cNvPr id="2" name="Testo 4">
          <a:extLst>
            <a:ext uri="{FF2B5EF4-FFF2-40B4-BE49-F238E27FC236}">
              <a16:creationId xmlns:a16="http://schemas.microsoft.com/office/drawing/2014/main" id="{00000000-0008-0000-1200-000002000000}"/>
            </a:ext>
          </a:extLst>
        </xdr:cNvPr>
        <xdr:cNvSpPr txBox="1">
          <a:spLocks noChangeArrowheads="1"/>
        </xdr:cNvSpPr>
      </xdr:nvSpPr>
      <xdr:spPr bwMode="auto">
        <a:xfrm>
          <a:off x="0" y="586740"/>
          <a:ext cx="4354338" cy="22860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RICONCILIAZIONE ( * )</a:t>
          </a:r>
          <a:endParaRPr lang="it-IT" sz="1000" b="0" i="0" strike="noStrike">
            <a:solidFill>
              <a:srgbClr val="000000"/>
            </a:solidFill>
            <a:latin typeface="Arial"/>
            <a:cs typeface="Aria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47105" name="Testo 4">
          <a:extLst>
            <a:ext uri="{FF2B5EF4-FFF2-40B4-BE49-F238E27FC236}">
              <a16:creationId xmlns:a16="http://schemas.microsoft.com/office/drawing/2014/main" id="{00000000-0008-0000-1400-000001B80000}"/>
            </a:ext>
          </a:extLst>
        </xdr:cNvPr>
        <xdr:cNvSpPr txBox="1">
          <a:spLocks noChangeArrowheads="1"/>
        </xdr:cNvSpPr>
      </xdr:nvSpPr>
      <xdr:spPr bwMode="auto">
        <a:xfrm>
          <a:off x="8924925" y="0"/>
          <a:ext cx="0" cy="0"/>
        </a:xfrm>
        <a:prstGeom prst="rect">
          <a:avLst/>
        </a:prstGeom>
        <a:no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it-IT" sz="1000" b="1" i="0" strike="noStrike">
              <a:solidFill>
                <a:srgbClr val="000000"/>
              </a:solidFill>
              <a:latin typeface="Arial"/>
              <a:cs typeface="Arial"/>
            </a:rPr>
            <a:t>Anno 2004</a:t>
          </a:r>
        </a:p>
      </xdr:txBody>
    </xdr:sp>
    <xdr:clientData/>
  </xdr:twoCellAnchor>
  <xdr:twoCellAnchor>
    <xdr:from>
      <xdr:col>10</xdr:col>
      <xdr:colOff>0</xdr:colOff>
      <xdr:row>0</xdr:row>
      <xdr:rowOff>0</xdr:rowOff>
    </xdr:from>
    <xdr:to>
      <xdr:col>10</xdr:col>
      <xdr:colOff>0</xdr:colOff>
      <xdr:row>0</xdr:row>
      <xdr:rowOff>0</xdr:rowOff>
    </xdr:to>
    <xdr:sp macro="" textlink="">
      <xdr:nvSpPr>
        <xdr:cNvPr id="47108" name="Testo 2">
          <a:extLst>
            <a:ext uri="{FF2B5EF4-FFF2-40B4-BE49-F238E27FC236}">
              <a16:creationId xmlns:a16="http://schemas.microsoft.com/office/drawing/2014/main" id="{00000000-0008-0000-1400-000004B80000}"/>
            </a:ext>
          </a:extLst>
        </xdr:cNvPr>
        <xdr:cNvSpPr>
          <a:spLocks noChangeArrowheads="1"/>
        </xdr:cNvSpPr>
      </xdr:nvSpPr>
      <xdr:spPr bwMode="auto">
        <a:xfrm>
          <a:off x="8924925" y="0"/>
          <a:ext cx="0" cy="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22860" anchor="ctr" upright="1"/>
        <a:lstStyle/>
        <a:p>
          <a:pPr algn="l" rtl="0">
            <a:defRPr sz="1000"/>
          </a:pPr>
          <a:r>
            <a:rPr lang="it-IT" sz="800" b="1" i="0" strike="noStrike">
              <a:solidFill>
                <a:srgbClr val="000000"/>
              </a:solidFill>
              <a:latin typeface="Arial"/>
              <a:cs typeface="Arial"/>
            </a:rPr>
            <a:t>ISTITUZIONE......................................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22225</xdr:rowOff>
    </xdr:from>
    <xdr:to>
      <xdr:col>29</xdr:col>
      <xdr:colOff>360393</xdr:colOff>
      <xdr:row>1</xdr:row>
      <xdr:rowOff>276225</xdr:rowOff>
    </xdr:to>
    <xdr:sp macro="" textlink="">
      <xdr:nvSpPr>
        <xdr:cNvPr id="2057" name="Testo 9">
          <a:extLst>
            <a:ext uri="{FF2B5EF4-FFF2-40B4-BE49-F238E27FC236}">
              <a16:creationId xmlns:a16="http://schemas.microsoft.com/office/drawing/2014/main" id="{00000000-0008-0000-0100-000009080000}"/>
            </a:ext>
          </a:extLst>
        </xdr:cNvPr>
        <xdr:cNvSpPr txBox="1">
          <a:spLocks noChangeArrowheads="1"/>
        </xdr:cNvSpPr>
      </xdr:nvSpPr>
      <xdr:spPr bwMode="auto">
        <a:xfrm>
          <a:off x="9525" y="340995"/>
          <a:ext cx="6216015" cy="24765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 </a:t>
          </a:r>
          <a:r>
            <a:rPr lang="it-IT" sz="1200" b="0" i="0" strike="noStrike">
              <a:solidFill>
                <a:srgbClr val="000000"/>
              </a:solidFill>
              <a:latin typeface="Arial"/>
              <a:cs typeface="Arial"/>
            </a:rPr>
            <a:t>- </a:t>
          </a:r>
          <a:r>
            <a:rPr lang="it-IT" sz="1000" b="0" i="0" strike="noStrike">
              <a:solidFill>
                <a:srgbClr val="000000"/>
              </a:solidFill>
              <a:latin typeface="Arial"/>
              <a:cs typeface="Arial"/>
            </a:rPr>
            <a:t>Personale dipendente a tempo indeterminato e personale dirigente in servizio al 31 dicembre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48129" name="Testo 4">
          <a:extLst>
            <a:ext uri="{FF2B5EF4-FFF2-40B4-BE49-F238E27FC236}">
              <a16:creationId xmlns:a16="http://schemas.microsoft.com/office/drawing/2014/main" id="{00000000-0008-0000-1600-000001BC0000}"/>
            </a:ext>
          </a:extLst>
        </xdr:cNvPr>
        <xdr:cNvSpPr txBox="1">
          <a:spLocks noChangeArrowheads="1"/>
        </xdr:cNvSpPr>
      </xdr:nvSpPr>
      <xdr:spPr bwMode="auto">
        <a:xfrm>
          <a:off x="11458575" y="0"/>
          <a:ext cx="0" cy="0"/>
        </a:xfrm>
        <a:prstGeom prst="rect">
          <a:avLst/>
        </a:prstGeom>
        <a:no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it-IT" sz="1000" b="1" i="0" strike="noStrike">
              <a:solidFill>
                <a:srgbClr val="000000"/>
              </a:solidFill>
              <a:latin typeface="Arial"/>
              <a:cs typeface="Arial"/>
            </a:rPr>
            <a:t>Anno 2004</a:t>
          </a:r>
        </a:p>
      </xdr:txBody>
    </xdr:sp>
    <xdr:clientData/>
  </xdr:twoCellAnchor>
  <xdr:twoCellAnchor>
    <xdr:from>
      <xdr:col>14</xdr:col>
      <xdr:colOff>0</xdr:colOff>
      <xdr:row>0</xdr:row>
      <xdr:rowOff>0</xdr:rowOff>
    </xdr:from>
    <xdr:to>
      <xdr:col>14</xdr:col>
      <xdr:colOff>0</xdr:colOff>
      <xdr:row>0</xdr:row>
      <xdr:rowOff>0</xdr:rowOff>
    </xdr:to>
    <xdr:sp macro="" textlink="">
      <xdr:nvSpPr>
        <xdr:cNvPr id="48132" name="Testo 2">
          <a:extLst>
            <a:ext uri="{FF2B5EF4-FFF2-40B4-BE49-F238E27FC236}">
              <a16:creationId xmlns:a16="http://schemas.microsoft.com/office/drawing/2014/main" id="{00000000-0008-0000-1600-000004BC0000}"/>
            </a:ext>
          </a:extLst>
        </xdr:cNvPr>
        <xdr:cNvSpPr>
          <a:spLocks noChangeArrowheads="1"/>
        </xdr:cNvSpPr>
      </xdr:nvSpPr>
      <xdr:spPr bwMode="auto">
        <a:xfrm>
          <a:off x="11458575" y="0"/>
          <a:ext cx="0" cy="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22860" anchor="ctr" upright="1"/>
        <a:lstStyle/>
        <a:p>
          <a:pPr algn="l" rtl="0">
            <a:defRPr sz="1000"/>
          </a:pPr>
          <a:r>
            <a:rPr lang="it-IT" sz="800" b="1" i="0" strike="noStrike">
              <a:solidFill>
                <a:srgbClr val="000000"/>
              </a:solidFill>
              <a:latin typeface="Arial"/>
              <a:cs typeface="Arial"/>
            </a:rPr>
            <a:t>ISTITUZIONE......................................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0</xdr:row>
      <xdr:rowOff>0</xdr:rowOff>
    </xdr:to>
    <xdr:sp macro="" textlink="">
      <xdr:nvSpPr>
        <xdr:cNvPr id="49153" name="Testo 4">
          <a:extLst>
            <a:ext uri="{FF2B5EF4-FFF2-40B4-BE49-F238E27FC236}">
              <a16:creationId xmlns:a16="http://schemas.microsoft.com/office/drawing/2014/main" id="{00000000-0008-0000-1700-000001C00000}"/>
            </a:ext>
          </a:extLst>
        </xdr:cNvPr>
        <xdr:cNvSpPr txBox="1">
          <a:spLocks noChangeArrowheads="1"/>
        </xdr:cNvSpPr>
      </xdr:nvSpPr>
      <xdr:spPr bwMode="auto">
        <a:xfrm>
          <a:off x="7458075" y="0"/>
          <a:ext cx="0" cy="0"/>
        </a:xfrm>
        <a:prstGeom prst="rect">
          <a:avLst/>
        </a:prstGeom>
        <a:no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it-IT" sz="1000" b="1" i="0" strike="noStrike">
              <a:solidFill>
                <a:srgbClr val="000000"/>
              </a:solidFill>
              <a:latin typeface="Arial"/>
              <a:cs typeface="Arial"/>
            </a:rPr>
            <a:t>Anno 2004</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9156" name="Testo 2">
          <a:extLst>
            <a:ext uri="{FF2B5EF4-FFF2-40B4-BE49-F238E27FC236}">
              <a16:creationId xmlns:a16="http://schemas.microsoft.com/office/drawing/2014/main" id="{00000000-0008-0000-1700-000004C00000}"/>
            </a:ext>
          </a:extLst>
        </xdr:cNvPr>
        <xdr:cNvSpPr>
          <a:spLocks noChangeArrowheads="1"/>
        </xdr:cNvSpPr>
      </xdr:nvSpPr>
      <xdr:spPr bwMode="auto">
        <a:xfrm>
          <a:off x="7458075" y="0"/>
          <a:ext cx="0" cy="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22860" anchor="ctr" upright="1"/>
        <a:lstStyle/>
        <a:p>
          <a:pPr algn="l" rtl="0">
            <a:defRPr sz="1000"/>
          </a:pPr>
          <a:r>
            <a:rPr lang="it-IT" sz="800" b="1" i="0" strike="noStrike">
              <a:solidFill>
                <a:srgbClr val="000000"/>
              </a:solidFill>
              <a:latin typeface="Arial"/>
              <a:cs typeface="Arial"/>
            </a:rPr>
            <a:t>ISTITUZIONE......................................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51201" name="Testo 4">
          <a:extLst>
            <a:ext uri="{FF2B5EF4-FFF2-40B4-BE49-F238E27FC236}">
              <a16:creationId xmlns:a16="http://schemas.microsoft.com/office/drawing/2014/main" id="{00000000-0008-0000-1900-000001C80000}"/>
            </a:ext>
          </a:extLst>
        </xdr:cNvPr>
        <xdr:cNvSpPr txBox="1">
          <a:spLocks noChangeArrowheads="1"/>
        </xdr:cNvSpPr>
      </xdr:nvSpPr>
      <xdr:spPr bwMode="auto">
        <a:xfrm>
          <a:off x="6305550" y="0"/>
          <a:ext cx="0" cy="0"/>
        </a:xfrm>
        <a:prstGeom prst="rect">
          <a:avLst/>
        </a:prstGeom>
        <a:no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it-IT" sz="1000" b="1" i="0" strike="noStrike">
              <a:solidFill>
                <a:srgbClr val="000000"/>
              </a:solidFill>
              <a:latin typeface="Arial"/>
              <a:cs typeface="Arial"/>
            </a:rPr>
            <a:t>Anno 2004</a:t>
          </a:r>
        </a:p>
        <a:p>
          <a:pPr algn="ctr" rtl="0">
            <a:defRPr sz="1000"/>
          </a:pPr>
          <a:endParaRPr lang="it-IT" sz="1000" b="1" i="0" strike="noStrike">
            <a:solidFill>
              <a:srgbClr val="000000"/>
            </a:solidFill>
            <a:latin typeface="Arial"/>
            <a:cs typeface="Arial"/>
          </a:endParaRPr>
        </a:p>
      </xdr:txBody>
    </xdr:sp>
    <xdr:clientData/>
  </xdr:twoCellAnchor>
  <xdr:twoCellAnchor>
    <xdr:from>
      <xdr:col>4</xdr:col>
      <xdr:colOff>0</xdr:colOff>
      <xdr:row>0</xdr:row>
      <xdr:rowOff>0</xdr:rowOff>
    </xdr:from>
    <xdr:to>
      <xdr:col>4</xdr:col>
      <xdr:colOff>0</xdr:colOff>
      <xdr:row>0</xdr:row>
      <xdr:rowOff>0</xdr:rowOff>
    </xdr:to>
    <xdr:sp macro="" textlink="">
      <xdr:nvSpPr>
        <xdr:cNvPr id="51204" name="Testo 2">
          <a:extLst>
            <a:ext uri="{FF2B5EF4-FFF2-40B4-BE49-F238E27FC236}">
              <a16:creationId xmlns:a16="http://schemas.microsoft.com/office/drawing/2014/main" id="{00000000-0008-0000-1900-000004C80000}"/>
            </a:ext>
          </a:extLst>
        </xdr:cNvPr>
        <xdr:cNvSpPr>
          <a:spLocks noChangeArrowheads="1"/>
        </xdr:cNvSpPr>
      </xdr:nvSpPr>
      <xdr:spPr bwMode="auto">
        <a:xfrm>
          <a:off x="6305550" y="0"/>
          <a:ext cx="0" cy="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22860" anchor="ctr" upright="1"/>
        <a:lstStyle/>
        <a:p>
          <a:pPr algn="l" rtl="0">
            <a:defRPr sz="1000"/>
          </a:pPr>
          <a:r>
            <a:rPr lang="it-IT" sz="800" b="1" i="0" strike="noStrike">
              <a:solidFill>
                <a:srgbClr val="000000"/>
              </a:solidFill>
              <a:latin typeface="Arial"/>
              <a:cs typeface="Arial"/>
            </a:rPr>
            <a:t>ISTITUZIONE......................................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2" name="Testo 4">
          <a:extLst>
            <a:ext uri="{FF2B5EF4-FFF2-40B4-BE49-F238E27FC236}">
              <a16:creationId xmlns:a16="http://schemas.microsoft.com/office/drawing/2014/main" id="{00000000-0008-0000-2200-000002000000}"/>
            </a:ext>
          </a:extLst>
        </xdr:cNvPr>
        <xdr:cNvSpPr txBox="1">
          <a:spLocks noChangeArrowheads="1"/>
        </xdr:cNvSpPr>
      </xdr:nvSpPr>
      <xdr:spPr bwMode="auto">
        <a:xfrm>
          <a:off x="8305800" y="0"/>
          <a:ext cx="0" cy="0"/>
        </a:xfrm>
        <a:prstGeom prst="rect">
          <a:avLst/>
        </a:prstGeom>
        <a:no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it-IT" sz="1000" b="1" i="0" strike="noStrike">
              <a:solidFill>
                <a:srgbClr val="000000"/>
              </a:solidFill>
              <a:latin typeface="Arial"/>
              <a:cs typeface="Arial"/>
            </a:rPr>
            <a:t>Anno 2004</a:t>
          </a:r>
        </a:p>
        <a:p>
          <a:pPr algn="ctr" rtl="0">
            <a:defRPr sz="1000"/>
          </a:pPr>
          <a:endParaRPr lang="it-IT" sz="1000" b="1" i="0" strike="noStrike">
            <a:solidFill>
              <a:srgbClr val="000000"/>
            </a:solidFill>
            <a:latin typeface="Arial"/>
            <a:cs typeface="Arial"/>
          </a:endParaRPr>
        </a:p>
      </xdr:txBody>
    </xdr:sp>
    <xdr:clientData/>
  </xdr:twoCellAnchor>
  <xdr:twoCellAnchor>
    <xdr:from>
      <xdr:col>4</xdr:col>
      <xdr:colOff>0</xdr:colOff>
      <xdr:row>0</xdr:row>
      <xdr:rowOff>0</xdr:rowOff>
    </xdr:from>
    <xdr:to>
      <xdr:col>4</xdr:col>
      <xdr:colOff>0</xdr:colOff>
      <xdr:row>0</xdr:row>
      <xdr:rowOff>0</xdr:rowOff>
    </xdr:to>
    <xdr:sp macro="" textlink="">
      <xdr:nvSpPr>
        <xdr:cNvPr id="3" name="Testo 2">
          <a:extLst>
            <a:ext uri="{FF2B5EF4-FFF2-40B4-BE49-F238E27FC236}">
              <a16:creationId xmlns:a16="http://schemas.microsoft.com/office/drawing/2014/main" id="{00000000-0008-0000-2200-000003000000}"/>
            </a:ext>
          </a:extLst>
        </xdr:cNvPr>
        <xdr:cNvSpPr>
          <a:spLocks noChangeArrowheads="1"/>
        </xdr:cNvSpPr>
      </xdr:nvSpPr>
      <xdr:spPr bwMode="auto">
        <a:xfrm>
          <a:off x="8305800" y="0"/>
          <a:ext cx="0" cy="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22860" anchor="ctr" upright="1"/>
        <a:lstStyle/>
        <a:p>
          <a:pPr algn="l" rtl="0">
            <a:defRPr sz="1000"/>
          </a:pPr>
          <a:r>
            <a:rPr lang="it-IT" sz="800" b="1" i="0" strike="noStrike">
              <a:solidFill>
                <a:srgbClr val="000000"/>
              </a:solidFill>
              <a:latin typeface="Arial"/>
              <a:cs typeface="Arial"/>
            </a:rPr>
            <a:t>ISTITUZIONE......................................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38</xdr:col>
      <xdr:colOff>38100</xdr:colOff>
      <xdr:row>1</xdr:row>
      <xdr:rowOff>259080</xdr:rowOff>
    </xdr:to>
    <xdr:sp macro="" textlink="">
      <xdr:nvSpPr>
        <xdr:cNvPr id="2" name="Testo 9">
          <a:extLst>
            <a:ext uri="{FF2B5EF4-FFF2-40B4-BE49-F238E27FC236}">
              <a16:creationId xmlns:a16="http://schemas.microsoft.com/office/drawing/2014/main" id="{00000000-0008-0000-0200-000002000000}"/>
            </a:ext>
          </a:extLst>
        </xdr:cNvPr>
        <xdr:cNvSpPr txBox="1">
          <a:spLocks noChangeArrowheads="1"/>
        </xdr:cNvSpPr>
      </xdr:nvSpPr>
      <xdr:spPr bwMode="auto">
        <a:xfrm>
          <a:off x="0" y="342900"/>
          <a:ext cx="10462260" cy="25908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1E </a:t>
          </a:r>
          <a:r>
            <a:rPr lang="it-IT" sz="1200" b="0" i="0" strike="noStrike">
              <a:solidFill>
                <a:srgbClr val="000000"/>
              </a:solidFill>
              <a:latin typeface="Arial"/>
              <a:cs typeface="Arial"/>
            </a:rPr>
            <a:t>- </a:t>
          </a:r>
          <a:r>
            <a:rPr lang="it-IT" sz="1000" b="0" i="0" strike="noStrike">
              <a:solidFill>
                <a:srgbClr val="000000"/>
              </a:solidFill>
              <a:latin typeface="Arial"/>
              <a:cs typeface="Arial"/>
            </a:rPr>
            <a:t>Distribuzione del personale al 31 dicembre secondo il numero dei differenziali stipendiali / differenziali economici di professionalità / posizioni stipendiali / fasce retributive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31750</xdr:rowOff>
    </xdr:from>
    <xdr:to>
      <xdr:col>34</xdr:col>
      <xdr:colOff>2545</xdr:colOff>
      <xdr:row>1</xdr:row>
      <xdr:rowOff>291412</xdr:rowOff>
    </xdr:to>
    <xdr:sp macro="" textlink="">
      <xdr:nvSpPr>
        <xdr:cNvPr id="2" name="Testo 9">
          <a:extLst>
            <a:ext uri="{FF2B5EF4-FFF2-40B4-BE49-F238E27FC236}">
              <a16:creationId xmlns:a16="http://schemas.microsoft.com/office/drawing/2014/main" id="{00000000-0008-0000-0300-000002000000}"/>
            </a:ext>
          </a:extLst>
        </xdr:cNvPr>
        <xdr:cNvSpPr txBox="1">
          <a:spLocks noChangeArrowheads="1"/>
        </xdr:cNvSpPr>
      </xdr:nvSpPr>
      <xdr:spPr bwMode="auto">
        <a:xfrm>
          <a:off x="0" y="580390"/>
          <a:ext cx="5923285" cy="259662"/>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2 </a:t>
          </a:r>
          <a:r>
            <a:rPr lang="it-IT" sz="800" b="0" i="0" strike="noStrike">
              <a:solidFill>
                <a:srgbClr val="000000"/>
              </a:solidFill>
              <a:latin typeface="Arial"/>
              <a:cs typeface="Arial"/>
            </a:rPr>
            <a:t> -  </a:t>
          </a:r>
          <a:r>
            <a:rPr lang="it-IT" sz="1000" b="0" i="0" strike="noStrike">
              <a:solidFill>
                <a:srgbClr val="000000"/>
              </a:solidFill>
              <a:latin typeface="Arial"/>
              <a:cs typeface="Arial"/>
            </a:rPr>
            <a:t>Personale con contratto di lavoro flessibile </a:t>
          </a:r>
        </a:p>
      </xdr:txBody>
    </xdr:sp>
    <xdr:clientData/>
  </xdr:twoCellAnchor>
  <xdr:twoCellAnchor>
    <xdr:from>
      <xdr:col>0</xdr:col>
      <xdr:colOff>0</xdr:colOff>
      <xdr:row>14</xdr:row>
      <xdr:rowOff>31750</xdr:rowOff>
    </xdr:from>
    <xdr:to>
      <xdr:col>35</xdr:col>
      <xdr:colOff>554131</xdr:colOff>
      <xdr:row>14</xdr:row>
      <xdr:rowOff>291412</xdr:rowOff>
    </xdr:to>
    <xdr:sp macro="" textlink="">
      <xdr:nvSpPr>
        <xdr:cNvPr id="3" name="Testo 9">
          <a:extLst>
            <a:ext uri="{FF2B5EF4-FFF2-40B4-BE49-F238E27FC236}">
              <a16:creationId xmlns:a16="http://schemas.microsoft.com/office/drawing/2014/main" id="{00000000-0008-0000-0300-000003000000}"/>
            </a:ext>
          </a:extLst>
        </xdr:cNvPr>
        <xdr:cNvSpPr txBox="1">
          <a:spLocks noChangeArrowheads="1"/>
        </xdr:cNvSpPr>
      </xdr:nvSpPr>
      <xdr:spPr bwMode="auto">
        <a:xfrm>
          <a:off x="0" y="4611370"/>
          <a:ext cx="7084479" cy="259662"/>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2 </a:t>
          </a:r>
          <a:r>
            <a:rPr lang="it-IT" sz="800" b="0" i="0" strike="noStrike">
              <a:solidFill>
                <a:srgbClr val="000000"/>
              </a:solidFill>
              <a:latin typeface="Arial"/>
              <a:cs typeface="Arial"/>
            </a:rPr>
            <a:t> -  </a:t>
          </a:r>
          <a:r>
            <a:rPr lang="it-IT" sz="1000" b="0" i="0" strike="noStrike">
              <a:solidFill>
                <a:srgbClr val="000000"/>
              </a:solidFill>
              <a:latin typeface="Arial"/>
              <a:cs typeface="Arial"/>
            </a:rPr>
            <a:t>Personale con modalità di lavoro flessibile </a:t>
          </a:r>
        </a:p>
      </xdr:txBody>
    </xdr:sp>
    <xdr:clientData/>
  </xdr:twoCellAnchor>
  <mc:AlternateContent xmlns:mc="http://schemas.openxmlformats.org/markup-compatibility/2006">
    <mc:Choice xmlns:a14="http://schemas.microsoft.com/office/drawing/2010/main" Requires="a14">
      <xdr:twoCellAnchor editAs="oneCell">
        <xdr:from>
          <xdr:col>29</xdr:col>
          <xdr:colOff>182880</xdr:colOff>
          <xdr:row>10</xdr:row>
          <xdr:rowOff>144780</xdr:rowOff>
        </xdr:from>
        <xdr:to>
          <xdr:col>30</xdr:col>
          <xdr:colOff>251460</xdr:colOff>
          <xdr:row>11</xdr:row>
          <xdr:rowOff>175260</xdr:rowOff>
        </xdr:to>
        <xdr:sp macro="" textlink="">
          <xdr:nvSpPr>
            <xdr:cNvPr id="2652161" name="Drop Down 1" descr="No" hidden="1">
              <a:extLst>
                <a:ext uri="{63B3BB69-23CF-44E3-9099-C40C66FF867C}">
                  <a14:compatExt spid="_x0000_s2652161"/>
                </a:ext>
                <a:ext uri="{FF2B5EF4-FFF2-40B4-BE49-F238E27FC236}">
                  <a16:creationId xmlns:a16="http://schemas.microsoft.com/office/drawing/2014/main" id="{00000000-0008-0000-0300-0000017828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 uri="{53640926-AAD7-44D8-BBD7-CCE9431645EC}">
                <a14:shadowObscured val="1"/>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3175</xdr:colOff>
      <xdr:row>2</xdr:row>
      <xdr:rowOff>155575</xdr:rowOff>
    </xdr:from>
    <xdr:to>
      <xdr:col>11</xdr:col>
      <xdr:colOff>0</xdr:colOff>
      <xdr:row>3</xdr:row>
      <xdr:rowOff>118970</xdr:rowOff>
    </xdr:to>
    <xdr:sp macro="" textlink="">
      <xdr:nvSpPr>
        <xdr:cNvPr id="74753" name="Testo 9">
          <a:extLst>
            <a:ext uri="{FF2B5EF4-FFF2-40B4-BE49-F238E27FC236}">
              <a16:creationId xmlns:a16="http://schemas.microsoft.com/office/drawing/2014/main" id="{00000000-0008-0000-0400-000001240100}"/>
            </a:ext>
          </a:extLst>
        </xdr:cNvPr>
        <xdr:cNvSpPr txBox="1">
          <a:spLocks noChangeArrowheads="1"/>
        </xdr:cNvSpPr>
      </xdr:nvSpPr>
      <xdr:spPr bwMode="auto">
        <a:xfrm>
          <a:off x="361950" y="590550"/>
          <a:ext cx="584835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2A</a:t>
          </a:r>
          <a:r>
            <a:rPr lang="it-IT" sz="800" b="0" i="0" strike="noStrike">
              <a:solidFill>
                <a:srgbClr val="000000"/>
              </a:solidFill>
              <a:latin typeface="Arial"/>
              <a:cs typeface="Arial"/>
            </a:rPr>
            <a:t> - </a:t>
          </a:r>
          <a:r>
            <a:rPr lang="it-IT" sz="1000" b="0" i="0" strike="noStrike">
              <a:solidFill>
                <a:srgbClr val="000000"/>
              </a:solidFill>
              <a:latin typeface="Arial"/>
              <a:cs typeface="Arial"/>
            </a:rPr>
            <a:t>Distribuzione del personale a tempo determinato per anzianità di rapporto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8255</xdr:colOff>
      <xdr:row>1</xdr:row>
      <xdr:rowOff>38100</xdr:rowOff>
    </xdr:from>
    <xdr:to>
      <xdr:col>6</xdr:col>
      <xdr:colOff>9527</xdr:colOff>
      <xdr:row>1</xdr:row>
      <xdr:rowOff>289002</xdr:rowOff>
    </xdr:to>
    <xdr:sp macro="" textlink="">
      <xdr:nvSpPr>
        <xdr:cNvPr id="37889" name="Testo 13">
          <a:extLst>
            <a:ext uri="{FF2B5EF4-FFF2-40B4-BE49-F238E27FC236}">
              <a16:creationId xmlns:a16="http://schemas.microsoft.com/office/drawing/2014/main" id="{00000000-0008-0000-0500-000001940000}"/>
            </a:ext>
          </a:extLst>
        </xdr:cNvPr>
        <xdr:cNvSpPr txBox="1">
          <a:spLocks noChangeArrowheads="1"/>
        </xdr:cNvSpPr>
      </xdr:nvSpPr>
      <xdr:spPr bwMode="auto">
        <a:xfrm>
          <a:off x="9525" y="590550"/>
          <a:ext cx="558165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3</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1000" b="0" i="0" strike="noStrike">
              <a:solidFill>
                <a:srgbClr val="000000"/>
              </a:solidFill>
              <a:latin typeface="Arial"/>
              <a:cs typeface="Arial"/>
            </a:rPr>
            <a:t>Personale in posizione di comando/distacco e fuori ruolo al 31 dicembre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8254</xdr:colOff>
      <xdr:row>1</xdr:row>
      <xdr:rowOff>38100</xdr:rowOff>
    </xdr:from>
    <xdr:to>
      <xdr:col>14</xdr:col>
      <xdr:colOff>632459</xdr:colOff>
      <xdr:row>1</xdr:row>
      <xdr:rowOff>434340</xdr:rowOff>
    </xdr:to>
    <xdr:sp macro="" textlink="">
      <xdr:nvSpPr>
        <xdr:cNvPr id="26625" name="Testo 9">
          <a:extLst>
            <a:ext uri="{FF2B5EF4-FFF2-40B4-BE49-F238E27FC236}">
              <a16:creationId xmlns:a16="http://schemas.microsoft.com/office/drawing/2014/main" id="{00000000-0008-0000-0600-000001680000}"/>
            </a:ext>
          </a:extLst>
        </xdr:cNvPr>
        <xdr:cNvSpPr txBox="1">
          <a:spLocks noChangeArrowheads="1"/>
        </xdr:cNvSpPr>
      </xdr:nvSpPr>
      <xdr:spPr bwMode="auto">
        <a:xfrm>
          <a:off x="8254" y="586740"/>
          <a:ext cx="8213725" cy="39624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4 </a:t>
          </a:r>
          <a:r>
            <a:rPr lang="it-IT" sz="1000" b="1" i="0" strike="noStrike">
              <a:solidFill>
                <a:srgbClr val="000000"/>
              </a:solidFill>
              <a:latin typeface="Arial"/>
              <a:cs typeface="Arial"/>
            </a:rPr>
            <a:t>- </a:t>
          </a:r>
          <a:r>
            <a:rPr lang="it-IT" sz="1000" b="0" i="0" strike="noStrike">
              <a:solidFill>
                <a:srgbClr val="000000"/>
              </a:solidFill>
              <a:latin typeface="Arial"/>
              <a:cs typeface="Arial"/>
            </a:rPr>
            <a:t>Passaggi di qualifica / posizione economica / differenziale stipendiale / differenziale economico di professionalità / profilo del personale a tempo indeterminato e dirigente nel corso dell'anno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22225</xdr:rowOff>
    </xdr:from>
    <xdr:to>
      <xdr:col>7</xdr:col>
      <xdr:colOff>576430</xdr:colOff>
      <xdr:row>1</xdr:row>
      <xdr:rowOff>285829</xdr:rowOff>
    </xdr:to>
    <xdr:sp macro="" textlink="">
      <xdr:nvSpPr>
        <xdr:cNvPr id="25601" name="Testo 13">
          <a:extLst>
            <a:ext uri="{FF2B5EF4-FFF2-40B4-BE49-F238E27FC236}">
              <a16:creationId xmlns:a16="http://schemas.microsoft.com/office/drawing/2014/main" id="{00000000-0008-0000-0700-000001640000}"/>
            </a:ext>
          </a:extLst>
        </xdr:cNvPr>
        <xdr:cNvSpPr txBox="1">
          <a:spLocks noChangeArrowheads="1"/>
        </xdr:cNvSpPr>
      </xdr:nvSpPr>
      <xdr:spPr bwMode="auto">
        <a:xfrm>
          <a:off x="0" y="581025"/>
          <a:ext cx="670560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5</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900" b="0" i="0" strike="noStrike">
              <a:solidFill>
                <a:srgbClr val="000000"/>
              </a:solidFill>
              <a:latin typeface="Arial"/>
              <a:cs typeface="Arial"/>
            </a:rPr>
            <a:t>Personale a tempo indeterminato  e personale dirigente cessato dal servizio nel corso dell'anno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22225</xdr:rowOff>
    </xdr:from>
    <xdr:to>
      <xdr:col>6</xdr:col>
      <xdr:colOff>0</xdr:colOff>
      <xdr:row>1</xdr:row>
      <xdr:rowOff>285829</xdr:rowOff>
    </xdr:to>
    <xdr:sp macro="" textlink="">
      <xdr:nvSpPr>
        <xdr:cNvPr id="24577" name="Testo 13">
          <a:extLst>
            <a:ext uri="{FF2B5EF4-FFF2-40B4-BE49-F238E27FC236}">
              <a16:creationId xmlns:a16="http://schemas.microsoft.com/office/drawing/2014/main" id="{00000000-0008-0000-0800-000001600000}"/>
            </a:ext>
          </a:extLst>
        </xdr:cNvPr>
        <xdr:cNvSpPr txBox="1">
          <a:spLocks noChangeArrowheads="1"/>
        </xdr:cNvSpPr>
      </xdr:nvSpPr>
      <xdr:spPr bwMode="auto">
        <a:xfrm>
          <a:off x="0" y="581025"/>
          <a:ext cx="6429375"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6 </a:t>
          </a:r>
          <a:r>
            <a:rPr lang="it-IT" sz="800" b="0" i="0" strike="noStrike">
              <a:solidFill>
                <a:srgbClr val="000000"/>
              </a:solidFill>
              <a:latin typeface="Arial"/>
              <a:cs typeface="Arial"/>
            </a:rPr>
            <a:t>-</a:t>
          </a:r>
          <a:r>
            <a:rPr lang="it-IT" sz="900" b="0" i="0" strike="noStrike">
              <a:solidFill>
                <a:srgbClr val="000000"/>
              </a:solidFill>
              <a:latin typeface="Arial"/>
              <a:cs typeface="Arial"/>
            </a:rPr>
            <a:t> Personale a tempo indeterminato e personale dirigente assunto in servizio nel corso dell'anno</a:t>
          </a: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trlProp" Target="../ctrlProps/ctrlProp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8">
    <pageSetUpPr fitToPage="1"/>
  </sheetPr>
  <dimension ref="A1:K256"/>
  <sheetViews>
    <sheetView showGridLines="0" tabSelected="1" zoomScale="75" workbookViewId="0">
      <selection activeCell="G109" sqref="G109"/>
    </sheetView>
  </sheetViews>
  <sheetFormatPr defaultColWidth="6.28515625" defaultRowHeight="13.2" x14ac:dyDescent="0.2"/>
  <cols>
    <col min="1" max="1" width="6.7109375" style="302" customWidth="1"/>
    <col min="2" max="2" width="25.7109375" style="319" customWidth="1"/>
    <col min="3" max="3" width="31" style="319" customWidth="1"/>
    <col min="4" max="4" width="20.42578125" style="319" customWidth="1"/>
    <col min="5" max="5" width="40.7109375" style="319" customWidth="1"/>
    <col min="6" max="6" width="29" style="319" customWidth="1"/>
    <col min="7" max="7" width="26" style="319" customWidth="1"/>
    <col min="8" max="10" width="5.28515625" style="302" hidden="1" customWidth="1"/>
    <col min="11" max="11" width="38.7109375" style="302" customWidth="1"/>
    <col min="12" max="16384" width="6.28515625" style="302"/>
  </cols>
  <sheetData>
    <row r="1" spans="1:11" ht="57.75" customHeight="1" x14ac:dyDescent="0.2">
      <c r="A1" s="418" t="s">
        <v>255</v>
      </c>
    </row>
    <row r="2" spans="1:11" s="303" customFormat="1" ht="20.25" customHeight="1" x14ac:dyDescent="0.2">
      <c r="A2" s="335" t="s">
        <v>380</v>
      </c>
      <c r="B2" s="320"/>
      <c r="C2" s="1050"/>
      <c r="D2" s="1050"/>
      <c r="E2" s="1050"/>
      <c r="F2" s="1050"/>
      <c r="G2" s="320"/>
    </row>
    <row r="3" spans="1:11" s="303" customFormat="1" ht="27" customHeight="1" x14ac:dyDescent="0.2">
      <c r="A3" s="335"/>
      <c r="B3" s="406"/>
      <c r="C3" s="1054" t="str">
        <f>'t1'!A1</f>
        <v>AFAM - anno 2023</v>
      </c>
      <c r="D3" s="1054"/>
      <c r="E3" s="1054"/>
      <c r="F3" s="1054"/>
      <c r="G3" s="320"/>
    </row>
    <row r="5" spans="1:11" x14ac:dyDescent="0.2">
      <c r="E5" s="302"/>
    </row>
    <row r="6" spans="1:11" ht="18" customHeight="1" x14ac:dyDescent="0.2">
      <c r="B6" s="1046" t="s">
        <v>297</v>
      </c>
      <c r="C6" s="1047"/>
      <c r="D6" s="1047"/>
      <c r="E6" s="1047"/>
      <c r="F6" s="1047"/>
      <c r="G6" s="1048"/>
    </row>
    <row r="7" spans="1:11" ht="6" customHeight="1" x14ac:dyDescent="0.2"/>
    <row r="8" spans="1:11" ht="19.5" hidden="1" customHeight="1" x14ac:dyDescent="0.2">
      <c r="A8" s="336"/>
      <c r="B8" s="319" t="s">
        <v>224</v>
      </c>
      <c r="D8" s="321"/>
      <c r="E8" s="1035"/>
      <c r="F8" s="1036"/>
      <c r="G8" s="1037"/>
    </row>
    <row r="9" spans="1:11" ht="29.1" hidden="1" customHeight="1" x14ac:dyDescent="0.2">
      <c r="A9" s="336"/>
      <c r="B9" s="304" t="s">
        <v>225</v>
      </c>
      <c r="C9" s="304"/>
      <c r="D9" s="587"/>
      <c r="E9" s="1051"/>
      <c r="F9" s="1052"/>
      <c r="G9" s="1053"/>
      <c r="K9" s="419"/>
    </row>
    <row r="10" spans="1:11" ht="29.1" customHeight="1" x14ac:dyDescent="0.2">
      <c r="A10" s="336"/>
      <c r="B10" s="304" t="s">
        <v>226</v>
      </c>
      <c r="C10" s="304"/>
      <c r="D10" s="321"/>
      <c r="E10" s="1035" t="s">
        <v>701</v>
      </c>
      <c r="F10" s="1036"/>
      <c r="G10" s="1037"/>
      <c r="K10" s="419"/>
    </row>
    <row r="11" spans="1:11" ht="29.1" hidden="1" customHeight="1" x14ac:dyDescent="0.2">
      <c r="A11" s="336"/>
      <c r="B11" s="304" t="s">
        <v>227</v>
      </c>
      <c r="C11" s="304"/>
      <c r="D11" s="321"/>
      <c r="E11" s="1035"/>
      <c r="F11" s="1036"/>
      <c r="G11" s="1037"/>
      <c r="K11" s="419"/>
    </row>
    <row r="12" spans="1:11" ht="29.1" customHeight="1" x14ac:dyDescent="0.2">
      <c r="A12" s="336"/>
      <c r="B12" s="304" t="s">
        <v>228</v>
      </c>
      <c r="C12" s="304"/>
      <c r="D12" s="321"/>
      <c r="E12" s="1038" t="s">
        <v>702</v>
      </c>
      <c r="F12" s="1036"/>
      <c r="G12" s="1037"/>
      <c r="K12" s="419"/>
    </row>
    <row r="13" spans="1:11" ht="29.1" hidden="1" customHeight="1" x14ac:dyDescent="0.2">
      <c r="A13" s="336"/>
      <c r="B13" s="304" t="s">
        <v>229</v>
      </c>
      <c r="C13" s="529"/>
      <c r="D13" s="530"/>
      <c r="E13" s="531"/>
      <c r="F13" s="532"/>
      <c r="G13" s="533"/>
      <c r="H13" s="459"/>
      <c r="I13" s="460"/>
      <c r="K13" s="420"/>
    </row>
    <row r="14" spans="1:11" s="306" customFormat="1" ht="20.25" hidden="1" customHeight="1" x14ac:dyDescent="0.2">
      <c r="A14" s="336"/>
      <c r="B14" s="305"/>
      <c r="C14" s="322" t="s">
        <v>230</v>
      </c>
      <c r="D14" s="306" t="s">
        <v>244</v>
      </c>
      <c r="E14" s="322" t="s">
        <v>231</v>
      </c>
      <c r="F14" s="322" t="s">
        <v>260</v>
      </c>
      <c r="G14" s="322"/>
    </row>
    <row r="15" spans="1:11" s="431" customFormat="1" ht="29.1" customHeight="1" x14ac:dyDescent="0.2">
      <c r="A15" s="319"/>
      <c r="B15" s="304" t="s">
        <v>43</v>
      </c>
      <c r="D15" s="1043" t="s">
        <v>703</v>
      </c>
      <c r="E15" s="1044"/>
      <c r="F15" s="1044"/>
      <c r="G15" s="1045"/>
    </row>
    <row r="16" spans="1:11" ht="18" customHeight="1" x14ac:dyDescent="0.2">
      <c r="A16" s="336"/>
      <c r="B16" s="1046" t="s">
        <v>292</v>
      </c>
      <c r="C16" s="1047"/>
      <c r="D16" s="1047"/>
      <c r="E16" s="1047"/>
      <c r="F16" s="1047"/>
      <c r="G16" s="1048"/>
    </row>
    <row r="17" spans="1:11" s="307" customFormat="1" ht="15" customHeight="1" x14ac:dyDescent="0.2">
      <c r="A17" s="336"/>
      <c r="B17" s="323" t="s">
        <v>232</v>
      </c>
      <c r="C17" s="565"/>
      <c r="D17" s="565"/>
      <c r="E17" s="565"/>
      <c r="F17" s="565"/>
      <c r="G17" s="565"/>
    </row>
    <row r="18" spans="1:11" s="307" customFormat="1" ht="15" x14ac:dyDescent="0.2">
      <c r="A18" s="336"/>
      <c r="B18" s="324" t="s">
        <v>233</v>
      </c>
      <c r="C18" s="324"/>
      <c r="D18" s="324" t="s">
        <v>234</v>
      </c>
      <c r="E18" s="324"/>
      <c r="F18" s="325" t="s">
        <v>243</v>
      </c>
      <c r="G18" s="559"/>
    </row>
    <row r="19" spans="1:11" ht="22.5" customHeight="1" x14ac:dyDescent="0.2">
      <c r="A19" s="336"/>
      <c r="B19" s="1035"/>
      <c r="C19" s="1036"/>
      <c r="D19" s="1035"/>
      <c r="E19" s="1036"/>
      <c r="F19" s="1038"/>
      <c r="G19" s="1037"/>
      <c r="K19" s="420"/>
    </row>
    <row r="20" spans="1:11" s="307" customFormat="1" ht="15" customHeight="1" x14ac:dyDescent="0.2">
      <c r="A20" s="336"/>
      <c r="B20" s="323" t="s">
        <v>235</v>
      </c>
      <c r="D20" s="324"/>
      <c r="E20" s="324"/>
      <c r="F20" s="565"/>
      <c r="G20" s="565"/>
    </row>
    <row r="21" spans="1:11" s="307" customFormat="1" ht="15" customHeight="1" x14ac:dyDescent="0.2">
      <c r="A21" s="336"/>
      <c r="B21" s="324" t="s">
        <v>233</v>
      </c>
      <c r="C21" s="324"/>
      <c r="D21" s="324" t="s">
        <v>234</v>
      </c>
      <c r="E21" s="324"/>
      <c r="F21" s="325" t="s">
        <v>243</v>
      </c>
      <c r="G21" s="560"/>
    </row>
    <row r="22" spans="1:11" ht="23.25" customHeight="1" x14ac:dyDescent="0.2">
      <c r="A22" s="336"/>
      <c r="B22" s="1039" t="s">
        <v>704</v>
      </c>
      <c r="C22" s="1040"/>
      <c r="D22" s="1039" t="s">
        <v>705</v>
      </c>
      <c r="E22" s="1040"/>
      <c r="F22" s="1039" t="s">
        <v>706</v>
      </c>
      <c r="G22" s="1040"/>
      <c r="K22" s="420" t="str">
        <f>IF(OR(LEN(B22)&gt;0,LEN(D22)&gt;0),IF(LEN(F22)=0,"E' NECESSARIO COMPILARE IL CAMPO E-MAIL"," ")," ")</f>
        <v xml:space="preserve"> </v>
      </c>
    </row>
    <row r="23" spans="1:11" ht="23.25" customHeight="1" x14ac:dyDescent="0.2">
      <c r="A23" s="336"/>
      <c r="B23" s="1039" t="s">
        <v>707</v>
      </c>
      <c r="C23" s="1040"/>
      <c r="D23" s="1039" t="s">
        <v>708</v>
      </c>
      <c r="E23" s="1040"/>
      <c r="F23" s="1039" t="s">
        <v>709</v>
      </c>
      <c r="G23" s="1040"/>
      <c r="K23" s="420" t="str">
        <f>IF(OR(LEN(B23)&gt;0,LEN(D23)&gt;0),IF(LEN(F23)=0,"E' NECESSARIO COMPILARE IL CAMPO E-MAIL"," ")," ")</f>
        <v xml:space="preserve"> </v>
      </c>
    </row>
    <row r="24" spans="1:11" ht="23.25" customHeight="1" x14ac:dyDescent="0.2">
      <c r="A24" s="336"/>
      <c r="B24" s="1049"/>
      <c r="C24" s="1040"/>
      <c r="D24" s="1049"/>
      <c r="E24" s="1040"/>
      <c r="F24" s="1049"/>
      <c r="G24" s="1040"/>
      <c r="K24" s="420" t="str">
        <f>IF(OR(LEN(B24)&gt;0,LEN(D24)&gt;0),IF(LEN(F24)=0,"E' NECESSARIO COMPILARE IL CAMPO E-MAIL"," ")," ")</f>
        <v xml:space="preserve"> </v>
      </c>
    </row>
    <row r="25" spans="1:11" ht="23.25" customHeight="1" x14ac:dyDescent="0.2">
      <c r="A25" s="336"/>
      <c r="B25" s="1049"/>
      <c r="C25" s="1040"/>
      <c r="D25" s="1049"/>
      <c r="E25" s="1040"/>
      <c r="F25" s="1049"/>
      <c r="G25" s="1040"/>
      <c r="K25" s="420" t="str">
        <f>IF(OR(LEN(B25)&gt;0,LEN(D25)&gt;0),IF(LEN(F25)=0,"E' NECESSARIO COMPILARE IL CAMPO E-MAIL"," ")," ")</f>
        <v xml:space="preserve"> </v>
      </c>
    </row>
    <row r="26" spans="1:11" ht="23.25" customHeight="1" x14ac:dyDescent="0.2">
      <c r="A26" s="336"/>
      <c r="B26" s="1049"/>
      <c r="C26" s="1040"/>
      <c r="D26" s="1049"/>
      <c r="E26" s="1040"/>
      <c r="F26" s="1049"/>
      <c r="G26" s="1040"/>
      <c r="K26" s="420" t="str">
        <f>IF(OR(LEN(B26)&gt;0,LEN(D26)&gt;0),IF(LEN(F26)=0,"E' NECESSARIO COMPILARE IL CAMPO E-MAIL"," ")," ")</f>
        <v xml:space="preserve"> </v>
      </c>
    </row>
    <row r="27" spans="1:11" ht="17.399999999999999" x14ac:dyDescent="0.2">
      <c r="A27" s="336"/>
      <c r="C27" s="326"/>
      <c r="D27" s="326"/>
      <c r="E27" s="321"/>
      <c r="F27" s="327"/>
      <c r="G27" s="327"/>
    </row>
    <row r="28" spans="1:11" ht="18" customHeight="1" x14ac:dyDescent="0.2">
      <c r="A28" s="336"/>
      <c r="B28" s="329" t="s">
        <v>236</v>
      </c>
      <c r="C28" s="328"/>
      <c r="D28" s="328"/>
      <c r="E28" s="330"/>
      <c r="F28" s="331"/>
      <c r="G28" s="331"/>
      <c r="H28" s="308"/>
    </row>
    <row r="29" spans="1:11" ht="13.5" customHeight="1" x14ac:dyDescent="0.2">
      <c r="A29" s="336"/>
      <c r="B29" s="328"/>
      <c r="C29" s="328"/>
      <c r="D29" s="328"/>
      <c r="E29" s="330"/>
      <c r="F29" s="330"/>
      <c r="G29" s="330"/>
      <c r="H29" s="308"/>
    </row>
    <row r="30" spans="1:11" ht="18" customHeight="1" x14ac:dyDescent="0.2">
      <c r="A30" s="336"/>
      <c r="B30" s="1046" t="s">
        <v>293</v>
      </c>
      <c r="C30" s="1047"/>
      <c r="D30" s="1047"/>
      <c r="E30" s="1047"/>
      <c r="F30" s="1047"/>
      <c r="G30" s="1048"/>
      <c r="H30" s="308"/>
    </row>
    <row r="31" spans="1:11" ht="8.1" customHeight="1" x14ac:dyDescent="0.2">
      <c r="A31" s="336"/>
      <c r="B31" s="603"/>
      <c r="C31" s="604"/>
      <c r="D31" s="604"/>
      <c r="E31" s="302"/>
      <c r="F31" s="604"/>
      <c r="G31" s="604"/>
    </row>
    <row r="32" spans="1:11" s="309" customFormat="1" ht="15.75" customHeight="1" x14ac:dyDescent="0.2">
      <c r="A32" s="336"/>
      <c r="B32" s="605" t="s">
        <v>514</v>
      </c>
      <c r="C32" s="605"/>
      <c r="D32" s="605" t="s">
        <v>515</v>
      </c>
      <c r="E32" s="605" t="s">
        <v>516</v>
      </c>
      <c r="F32" s="677" t="s">
        <v>517</v>
      </c>
      <c r="G32" s="302"/>
    </row>
    <row r="33" spans="1:11" ht="36" customHeight="1" x14ac:dyDescent="0.25">
      <c r="A33" s="336"/>
      <c r="B33" s="1072" t="s">
        <v>710</v>
      </c>
      <c r="C33" s="1073"/>
      <c r="D33" s="530" t="s">
        <v>711</v>
      </c>
      <c r="E33" s="534" t="s">
        <v>712</v>
      </c>
      <c r="F33" s="535" t="s">
        <v>713</v>
      </c>
      <c r="G33" s="302"/>
      <c r="K33" s="420" t="str">
        <f>IF(AND(LEN(B33)&gt;0,LEN(D33)&gt;0,LEN(E33)&gt;0,LEN(F33)&gt;0),"","COMPILARE TUTTI I DATI DEL RESPONSABILE CONTRASSEGNATI CON L'ASTERISCO")</f>
        <v/>
      </c>
    </row>
    <row r="34" spans="1:11" ht="20.25" hidden="1" customHeight="1" x14ac:dyDescent="0.25">
      <c r="A34" s="336"/>
      <c r="B34" s="1074"/>
      <c r="C34" s="1075"/>
      <c r="D34" s="606"/>
      <c r="E34" s="421"/>
      <c r="F34" s="608"/>
      <c r="G34" s="302"/>
    </row>
    <row r="35" spans="1:11" ht="18" customHeight="1" x14ac:dyDescent="0.2">
      <c r="A35" s="336"/>
      <c r="B35" s="609"/>
      <c r="C35" s="609"/>
      <c r="D35" s="604"/>
      <c r="E35" s="604"/>
      <c r="F35" s="302"/>
      <c r="G35" s="302"/>
    </row>
    <row r="36" spans="1:11" ht="18" customHeight="1" x14ac:dyDescent="0.2">
      <c r="A36" s="336"/>
      <c r="B36" s="1046" t="s">
        <v>456</v>
      </c>
      <c r="C36" s="1047"/>
      <c r="D36" s="1047"/>
      <c r="E36" s="1047"/>
      <c r="F36" s="1047"/>
      <c r="G36" s="1048"/>
      <c r="H36" s="308"/>
    </row>
    <row r="37" spans="1:11" ht="8.1" customHeight="1" x14ac:dyDescent="0.2">
      <c r="A37" s="336"/>
      <c r="B37" s="603"/>
      <c r="C37" s="604"/>
      <c r="D37" s="604"/>
      <c r="E37" s="302"/>
      <c r="F37" s="604"/>
      <c r="G37" s="604"/>
    </row>
    <row r="38" spans="1:11" s="309" customFormat="1" ht="15.75" customHeight="1" x14ac:dyDescent="0.2">
      <c r="A38" s="336"/>
      <c r="B38" s="605" t="s">
        <v>233</v>
      </c>
      <c r="C38" s="605"/>
      <c r="D38" s="605" t="s">
        <v>234</v>
      </c>
      <c r="E38" s="605" t="s">
        <v>243</v>
      </c>
      <c r="F38" s="309" t="s">
        <v>226</v>
      </c>
      <c r="G38" s="302"/>
    </row>
    <row r="39" spans="1:11" ht="23.25" customHeight="1" x14ac:dyDescent="0.25">
      <c r="A39" s="336"/>
      <c r="B39" s="1074" t="s">
        <v>714</v>
      </c>
      <c r="C39" s="1075"/>
      <c r="D39" s="606" t="s">
        <v>715</v>
      </c>
      <c r="E39" s="607" t="s">
        <v>716</v>
      </c>
      <c r="F39" s="608" t="s">
        <v>713</v>
      </c>
      <c r="G39" s="302"/>
      <c r="K39" s="420"/>
    </row>
    <row r="40" spans="1:11" ht="18" customHeight="1" x14ac:dyDescent="0.2">
      <c r="A40" s="336"/>
      <c r="B40" s="609"/>
      <c r="C40" s="609"/>
      <c r="D40" s="604"/>
      <c r="E40" s="604"/>
      <c r="F40" s="302"/>
      <c r="G40" s="302"/>
    </row>
    <row r="41" spans="1:11" ht="18" customHeight="1" x14ac:dyDescent="0.2">
      <c r="A41" s="336"/>
      <c r="B41" s="1046" t="s">
        <v>298</v>
      </c>
      <c r="C41" s="1047"/>
      <c r="D41" s="1047"/>
      <c r="E41" s="1047"/>
      <c r="F41" s="1047"/>
      <c r="G41" s="1048"/>
    </row>
    <row r="42" spans="1:11" ht="6" customHeight="1" x14ac:dyDescent="0.25">
      <c r="A42" s="336"/>
      <c r="B42" s="304"/>
      <c r="C42" s="304"/>
      <c r="F42" s="332"/>
      <c r="G42" s="332"/>
    </row>
    <row r="43" spans="1:11" ht="15" hidden="1" x14ac:dyDescent="0.2">
      <c r="A43" s="336"/>
      <c r="B43" s="310"/>
      <c r="C43" s="304"/>
      <c r="F43"/>
      <c r="G43"/>
      <c r="H43" s="337" t="b">
        <v>0</v>
      </c>
      <c r="I43" s="337" t="b">
        <v>0</v>
      </c>
    </row>
    <row r="44" spans="1:11" ht="29.25" hidden="1" customHeight="1" x14ac:dyDescent="0.2">
      <c r="A44" s="336">
        <v>1</v>
      </c>
      <c r="B44" s="1056" t="s">
        <v>237</v>
      </c>
      <c r="C44" s="1056"/>
      <c r="D44" s="1056"/>
      <c r="E44" s="1056"/>
      <c r="F44" s="476"/>
      <c r="G44" s="476"/>
      <c r="H44" s="407"/>
      <c r="I44" s="407"/>
      <c r="J44" s="422"/>
      <c r="K44" s="420"/>
    </row>
    <row r="45" spans="1:11" ht="8.25" hidden="1" customHeight="1" x14ac:dyDescent="0.2">
      <c r="B45" s="310"/>
      <c r="C45" s="304"/>
      <c r="F45" s="526"/>
      <c r="G45" s="526"/>
      <c r="H45" s="337"/>
      <c r="I45" s="337"/>
    </row>
    <row r="46" spans="1:11" ht="29.25" hidden="1" customHeight="1" x14ac:dyDescent="0.2">
      <c r="A46" s="336">
        <v>2</v>
      </c>
      <c r="B46" s="1056" t="s">
        <v>237</v>
      </c>
      <c r="C46" s="1056"/>
      <c r="D46" s="1056"/>
      <c r="E46" s="1056"/>
      <c r="F46" s="331"/>
      <c r="G46" s="331"/>
      <c r="H46" s="407"/>
      <c r="I46" s="407"/>
      <c r="J46" s="422"/>
      <c r="K46" s="420"/>
    </row>
    <row r="47" spans="1:11" ht="8.25" hidden="1" customHeight="1" x14ac:dyDescent="0.2">
      <c r="A47" s="336"/>
      <c r="B47" s="310"/>
      <c r="C47" s="304"/>
      <c r="F47" s="526"/>
      <c r="G47" s="526"/>
      <c r="H47" s="337"/>
      <c r="I47" s="337"/>
    </row>
    <row r="48" spans="1:11" ht="29.25" hidden="1" customHeight="1" x14ac:dyDescent="0.2">
      <c r="A48" s="336">
        <v>3</v>
      </c>
      <c r="B48" s="1056" t="s">
        <v>237</v>
      </c>
      <c r="C48" s="1056"/>
      <c r="D48" s="1056"/>
      <c r="E48" s="1056"/>
      <c r="F48" s="331"/>
      <c r="G48" s="331"/>
      <c r="H48" s="407"/>
      <c r="I48" s="407"/>
      <c r="J48" s="422"/>
      <c r="K48" s="420"/>
    </row>
    <row r="49" spans="1:11" ht="8.25" hidden="1" customHeight="1" x14ac:dyDescent="0.2">
      <c r="A49" s="336"/>
      <c r="B49" s="527"/>
      <c r="C49" s="527"/>
      <c r="D49" s="527"/>
      <c r="E49" s="527"/>
      <c r="F49" s="526"/>
      <c r="G49" s="526"/>
      <c r="H49" s="337"/>
      <c r="I49" s="337"/>
    </row>
    <row r="50" spans="1:11" ht="29.25" hidden="1" customHeight="1" x14ac:dyDescent="0.2">
      <c r="A50" s="336">
        <v>4</v>
      </c>
      <c r="B50" s="1056" t="s">
        <v>237</v>
      </c>
      <c r="C50" s="1056"/>
      <c r="D50" s="1056"/>
      <c r="E50" s="1056"/>
      <c r="F50" s="331"/>
      <c r="G50" s="331"/>
      <c r="H50" s="407"/>
      <c r="I50" s="407"/>
      <c r="J50" s="422"/>
      <c r="K50" s="420"/>
    </row>
    <row r="51" spans="1:11" ht="9.75" hidden="1" customHeight="1" x14ac:dyDescent="0.2">
      <c r="A51" s="336"/>
      <c r="H51" s="407"/>
      <c r="I51" s="407"/>
    </row>
    <row r="52" spans="1:11" ht="15" hidden="1" x14ac:dyDescent="0.25">
      <c r="A52" s="336"/>
      <c r="B52" s="302"/>
      <c r="C52" s="302"/>
      <c r="F52" s="332"/>
      <c r="G52" s="333"/>
    </row>
    <row r="53" spans="1:11" ht="27" hidden="1" customHeight="1" x14ac:dyDescent="0.2">
      <c r="A53" s="336">
        <v>5</v>
      </c>
      <c r="B53" s="1041" t="s">
        <v>237</v>
      </c>
      <c r="C53" s="1041"/>
      <c r="D53" s="1041"/>
      <c r="E53" s="1041"/>
      <c r="F53" s="1042"/>
      <c r="G53" s="558"/>
      <c r="K53" s="420"/>
    </row>
    <row r="54" spans="1:11" ht="4.5" hidden="1" customHeight="1" x14ac:dyDescent="0.2">
      <c r="A54" s="336"/>
      <c r="B54" s="310"/>
      <c r="C54" s="310"/>
      <c r="D54" s="553"/>
      <c r="E54" s="553"/>
      <c r="F54" s="553"/>
      <c r="G54" s="334"/>
    </row>
    <row r="55" spans="1:11" ht="15" x14ac:dyDescent="0.2">
      <c r="A55" s="336"/>
      <c r="B55" s="457"/>
      <c r="C55" s="457"/>
      <c r="D55" s="554"/>
      <c r="E55" s="554"/>
      <c r="F55" s="457"/>
      <c r="G55" s="333" t="s">
        <v>238</v>
      </c>
    </row>
    <row r="56" spans="1:11" ht="24" customHeight="1" x14ac:dyDescent="0.2">
      <c r="A56" s="336">
        <v>6</v>
      </c>
      <c r="B56" s="1041" t="s">
        <v>664</v>
      </c>
      <c r="C56" s="1041"/>
      <c r="D56" s="1041"/>
      <c r="E56" s="1041"/>
      <c r="F56" s="1042"/>
      <c r="G56" s="479">
        <v>20</v>
      </c>
      <c r="K56" s="420" t="str">
        <f>IF(G56="","INSERIRE CAMPO OBBLIGATORIO",IF(G56=" ","INSERIRE NUMERO VALIDO",""))</f>
        <v/>
      </c>
    </row>
    <row r="57" spans="1:11" ht="4.5" customHeight="1" x14ac:dyDescent="0.2">
      <c r="A57" s="336"/>
      <c r="B57" s="310"/>
      <c r="C57" s="310"/>
      <c r="D57" s="554"/>
      <c r="E57" s="554"/>
      <c r="F57" s="457"/>
    </row>
    <row r="58" spans="1:11" ht="15" x14ac:dyDescent="0.2">
      <c r="A58" s="336"/>
      <c r="B58" s="457"/>
      <c r="C58" s="555"/>
      <c r="D58" s="556"/>
      <c r="E58" s="556"/>
      <c r="F58" s="557"/>
      <c r="G58" s="333" t="s">
        <v>238</v>
      </c>
    </row>
    <row r="59" spans="1:11" ht="24" customHeight="1" x14ac:dyDescent="0.2">
      <c r="A59" s="336">
        <v>7</v>
      </c>
      <c r="B59" s="1041" t="s">
        <v>668</v>
      </c>
      <c r="C59" s="1041"/>
      <c r="D59" s="1041"/>
      <c r="E59" s="1041"/>
      <c r="F59" s="1042"/>
      <c r="G59" s="479">
        <v>25</v>
      </c>
      <c r="K59" s="420" t="str">
        <f>IF(G59="","INSERIRE CAMPO OBBLIGATORIO",IF(G59=" ","INSERIRE NUMERO VALIDO",""))</f>
        <v/>
      </c>
    </row>
    <row r="60" spans="1:11" ht="4.5" customHeight="1" x14ac:dyDescent="0.2">
      <c r="A60" s="336"/>
      <c r="B60" s="310"/>
      <c r="C60" s="310"/>
      <c r="D60" s="554"/>
      <c r="E60" s="554"/>
      <c r="F60" s="457"/>
      <c r="G60" s="319" t="s">
        <v>89</v>
      </c>
    </row>
    <row r="61" spans="1:11" ht="15" x14ac:dyDescent="0.2">
      <c r="A61" s="336"/>
      <c r="B61" s="457"/>
      <c r="C61" s="555"/>
      <c r="D61" s="556"/>
      <c r="E61" s="556"/>
      <c r="F61" s="557"/>
      <c r="G61" s="333" t="s">
        <v>238</v>
      </c>
    </row>
    <row r="62" spans="1:11" ht="24" customHeight="1" x14ac:dyDescent="0.2">
      <c r="A62" s="336">
        <v>8</v>
      </c>
      <c r="B62" s="1041" t="s">
        <v>440</v>
      </c>
      <c r="C62" s="1041"/>
      <c r="D62" s="1041"/>
      <c r="E62" s="1041"/>
      <c r="F62" s="1042"/>
      <c r="G62" s="479">
        <v>3</v>
      </c>
      <c r="K62" s="420" t="str">
        <f>IF(G62="","INSERIRE CAMPO OBBLIGATORIO",IF(G62=" ","INSERIRE NUMERO VALIDO",""))</f>
        <v/>
      </c>
    </row>
    <row r="63" spans="1:11" ht="4.5" customHeight="1" x14ac:dyDescent="0.2">
      <c r="A63" s="336"/>
      <c r="B63" s="310"/>
      <c r="C63" s="310"/>
      <c r="D63" s="554"/>
      <c r="E63" s="554"/>
      <c r="F63" s="457"/>
      <c r="G63" s="319" t="s">
        <v>89</v>
      </c>
    </row>
    <row r="64" spans="1:11" ht="15" hidden="1" customHeight="1" x14ac:dyDescent="0.2">
      <c r="A64" s="456"/>
      <c r="B64" s="310"/>
      <c r="C64" s="310"/>
      <c r="D64" s="554"/>
      <c r="E64" s="554"/>
      <c r="F64" s="457"/>
      <c r="G64"/>
      <c r="H64"/>
      <c r="I64" s="458"/>
      <c r="J64" s="458"/>
    </row>
    <row r="65" spans="1:11" ht="15" hidden="1" customHeight="1" x14ac:dyDescent="0.2">
      <c r="A65" s="456"/>
      <c r="B65" s="310"/>
      <c r="C65" s="310"/>
      <c r="D65" s="554"/>
      <c r="E65" s="554"/>
      <c r="F65" s="457"/>
      <c r="G65"/>
      <c r="H65"/>
      <c r="I65" s="453"/>
      <c r="J65" s="458"/>
    </row>
    <row r="66" spans="1:11" ht="15" hidden="1" customHeight="1" x14ac:dyDescent="0.2">
      <c r="A66" s="456"/>
      <c r="B66" s="310"/>
      <c r="C66" s="310"/>
      <c r="D66" s="554"/>
      <c r="E66" s="554"/>
      <c r="F66" s="457"/>
      <c r="G66"/>
      <c r="H66"/>
      <c r="I66" s="453"/>
      <c r="J66" s="458"/>
    </row>
    <row r="67" spans="1:11" ht="15" hidden="1" customHeight="1" x14ac:dyDescent="0.2">
      <c r="A67" s="456"/>
      <c r="B67" s="310"/>
      <c r="C67" s="310"/>
      <c r="D67" s="554"/>
      <c r="E67" s="554"/>
      <c r="F67" s="457"/>
      <c r="G67"/>
      <c r="H67"/>
      <c r="I67" s="453"/>
      <c r="J67" s="458"/>
    </row>
    <row r="68" spans="1:11" ht="15" hidden="1" customHeight="1" x14ac:dyDescent="0.2">
      <c r="A68" s="456"/>
      <c r="B68" s="310"/>
      <c r="C68" s="310"/>
      <c r="D68" s="554"/>
      <c r="E68" s="554"/>
      <c r="F68" s="457"/>
      <c r="G68"/>
      <c r="H68"/>
      <c r="I68" s="453"/>
      <c r="J68" s="458"/>
    </row>
    <row r="69" spans="1:11" ht="15" hidden="1" customHeight="1" x14ac:dyDescent="0.2">
      <c r="A69" s="456"/>
      <c r="B69" s="310"/>
      <c r="C69" s="310"/>
      <c r="D69" s="554"/>
      <c r="E69" s="554"/>
      <c r="F69" s="457"/>
      <c r="G69"/>
      <c r="H69"/>
      <c r="I69" s="453"/>
      <c r="J69" s="458"/>
    </row>
    <row r="70" spans="1:11" ht="10.199999999999999" hidden="1" customHeight="1" x14ac:dyDescent="0.2">
      <c r="A70" s="336"/>
      <c r="B70" s="310"/>
      <c r="C70" s="310"/>
      <c r="D70" s="554"/>
      <c r="E70" s="554"/>
      <c r="F70" s="457"/>
      <c r="G70" s="473"/>
    </row>
    <row r="71" spans="1:11" ht="10.199999999999999" hidden="1" customHeight="1" x14ac:dyDescent="0.2">
      <c r="A71" s="336"/>
      <c r="B71" s="310"/>
      <c r="C71" s="310"/>
      <c r="D71" s="554"/>
      <c r="E71" s="554"/>
      <c r="F71" s="457"/>
      <c r="G71" s="473"/>
    </row>
    <row r="72" spans="1:11" ht="10.199999999999999" hidden="1" customHeight="1" x14ac:dyDescent="0.2">
      <c r="A72" s="336"/>
      <c r="B72" s="310"/>
      <c r="C72" s="310"/>
      <c r="D72" s="554"/>
      <c r="E72" s="554"/>
      <c r="F72" s="457"/>
      <c r="G72" s="473"/>
    </row>
    <row r="73" spans="1:11" ht="10.199999999999999" hidden="1" customHeight="1" x14ac:dyDescent="0.2">
      <c r="A73" s="336"/>
      <c r="B73" s="310"/>
      <c r="C73" s="310"/>
      <c r="D73" s="554"/>
      <c r="E73" s="554"/>
      <c r="F73" s="457"/>
      <c r="G73" s="473"/>
    </row>
    <row r="74" spans="1:11" ht="10.199999999999999" hidden="1" customHeight="1" x14ac:dyDescent="0.2">
      <c r="A74" s="336"/>
      <c r="B74" s="310"/>
      <c r="C74" s="310"/>
      <c r="D74" s="554"/>
      <c r="E74" s="554"/>
      <c r="F74" s="457"/>
      <c r="G74" s="473"/>
    </row>
    <row r="75" spans="1:11" ht="10.199999999999999" hidden="1" customHeight="1" x14ac:dyDescent="0.2">
      <c r="A75" s="336"/>
      <c r="B75" s="310"/>
      <c r="C75" s="310"/>
      <c r="D75" s="554"/>
      <c r="E75" s="554"/>
      <c r="F75" s="457"/>
      <c r="G75" s="473"/>
    </row>
    <row r="76" spans="1:11" ht="10.199999999999999" hidden="1" customHeight="1" x14ac:dyDescent="0.2">
      <c r="A76" s="336"/>
      <c r="B76" s="310"/>
      <c r="C76" s="310"/>
      <c r="D76" s="554"/>
      <c r="E76" s="554"/>
      <c r="F76" s="457"/>
      <c r="G76" s="473"/>
    </row>
    <row r="77" spans="1:11" ht="10.199999999999999" hidden="1" customHeight="1" x14ac:dyDescent="0.2">
      <c r="A77" s="336"/>
      <c r="B77" s="310"/>
      <c r="C77" s="310"/>
      <c r="D77" s="554"/>
      <c r="E77" s="554"/>
      <c r="F77" s="457"/>
      <c r="G77" s="473"/>
    </row>
    <row r="78" spans="1:11" ht="10.199999999999999" hidden="1" customHeight="1" x14ac:dyDescent="0.2">
      <c r="A78" s="336"/>
      <c r="B78" s="310"/>
      <c r="C78" s="310"/>
      <c r="D78" s="554"/>
      <c r="E78" s="554"/>
      <c r="F78" s="457"/>
      <c r="G78" s="473"/>
    </row>
    <row r="79" spans="1:11" ht="10.199999999999999" hidden="1" customHeight="1" x14ac:dyDescent="0.2">
      <c r="A79" s="336"/>
      <c r="B79" s="310"/>
      <c r="C79" s="310"/>
      <c r="D79" s="554"/>
      <c r="E79" s="554"/>
      <c r="F79" s="457"/>
      <c r="G79" s="454"/>
      <c r="K79" s="420"/>
    </row>
    <row r="80" spans="1:11" ht="17.25" hidden="1" customHeight="1" x14ac:dyDescent="0.2">
      <c r="A80" s="336"/>
      <c r="B80" s="310"/>
      <c r="C80" s="310"/>
      <c r="D80" s="554"/>
      <c r="E80" s="554"/>
      <c r="F80" s="457"/>
    </row>
    <row r="81" spans="1:11" ht="15" x14ac:dyDescent="0.2">
      <c r="A81" s="336"/>
      <c r="B81" s="457"/>
      <c r="C81" s="555"/>
      <c r="D81" s="556"/>
      <c r="E81" s="556"/>
      <c r="F81" s="557"/>
      <c r="G81" s="333" t="s">
        <v>278</v>
      </c>
    </row>
    <row r="82" spans="1:11" ht="27" customHeight="1" x14ac:dyDescent="0.2">
      <c r="A82" s="336">
        <v>9</v>
      </c>
      <c r="B82" s="1041" t="s">
        <v>441</v>
      </c>
      <c r="C82" s="1041"/>
      <c r="D82" s="1041"/>
      <c r="E82" s="1041"/>
      <c r="F82" s="1042"/>
      <c r="G82" s="479">
        <v>1254</v>
      </c>
      <c r="K82" s="420"/>
    </row>
    <row r="83" spans="1:11" ht="5.25" customHeight="1" x14ac:dyDescent="0.2">
      <c r="A83" s="336"/>
      <c r="B83" s="417"/>
      <c r="C83" s="417"/>
      <c r="D83" s="417"/>
      <c r="E83" s="417"/>
      <c r="F83" s="417"/>
      <c r="K83" s="420"/>
    </row>
    <row r="84" spans="1:11" ht="15" hidden="1" x14ac:dyDescent="0.25">
      <c r="A84" s="336"/>
      <c r="B84" s="302"/>
      <c r="C84" s="302"/>
      <c r="F84" s="332"/>
      <c r="G84" s="333"/>
    </row>
    <row r="85" spans="1:11" ht="27" hidden="1" customHeight="1" x14ac:dyDescent="0.2">
      <c r="A85" s="336">
        <v>10</v>
      </c>
      <c r="B85" s="1041" t="s">
        <v>237</v>
      </c>
      <c r="C85" s="1041"/>
      <c r="D85" s="1041"/>
      <c r="E85" s="1041"/>
      <c r="F85" s="1042"/>
      <c r="G85" s="558"/>
      <c r="K85" s="420"/>
    </row>
    <row r="86" spans="1:11" ht="5.25" hidden="1" customHeight="1" x14ac:dyDescent="0.2">
      <c r="A86" s="336"/>
      <c r="B86" s="417"/>
      <c r="C86" s="417"/>
      <c r="D86" s="417"/>
      <c r="E86" s="417"/>
      <c r="F86" s="417"/>
      <c r="K86" s="420"/>
    </row>
    <row r="87" spans="1:11" ht="15" hidden="1" x14ac:dyDescent="0.2">
      <c r="A87" s="336"/>
      <c r="B87" s="457"/>
      <c r="C87" s="555"/>
      <c r="D87" s="556"/>
      <c r="E87" s="556"/>
      <c r="F87" s="557"/>
      <c r="G87" s="333"/>
    </row>
    <row r="88" spans="1:11" ht="27" hidden="1" customHeight="1" x14ac:dyDescent="0.2">
      <c r="A88" s="336">
        <v>11</v>
      </c>
      <c r="B88" s="1041" t="s">
        <v>237</v>
      </c>
      <c r="C88" s="1041"/>
      <c r="D88" s="1041"/>
      <c r="E88" s="1041"/>
      <c r="F88" s="1042"/>
      <c r="G88" s="558"/>
      <c r="K88" s="420"/>
    </row>
    <row r="89" spans="1:11" ht="5.25" hidden="1" customHeight="1" x14ac:dyDescent="0.2">
      <c r="A89" s="336"/>
      <c r="B89" s="417"/>
      <c r="C89" s="417"/>
      <c r="D89" s="417"/>
      <c r="E89" s="417"/>
      <c r="F89" s="417"/>
      <c r="K89" s="420"/>
    </row>
    <row r="90" spans="1:11" ht="13.8" hidden="1" x14ac:dyDescent="0.2">
      <c r="A90" s="551"/>
      <c r="B90" s="551"/>
      <c r="C90" s="551"/>
      <c r="D90" s="551"/>
      <c r="E90" s="551"/>
      <c r="F90" s="552"/>
      <c r="G90" s="333"/>
    </row>
    <row r="91" spans="1:11" ht="27" hidden="1" customHeight="1" x14ac:dyDescent="0.2">
      <c r="A91" s="336">
        <v>12</v>
      </c>
      <c r="B91" s="1041" t="s">
        <v>237</v>
      </c>
      <c r="C91" s="1041"/>
      <c r="D91" s="1041"/>
      <c r="E91" s="1041"/>
      <c r="F91" s="1042"/>
      <c r="G91" s="558"/>
      <c r="K91" s="420"/>
    </row>
    <row r="92" spans="1:11" ht="4.5" hidden="1" customHeight="1" x14ac:dyDescent="0.2">
      <c r="A92" s="336"/>
      <c r="B92" s="417"/>
      <c r="C92" s="417"/>
      <c r="D92" s="417"/>
      <c r="E92" s="417"/>
      <c r="F92" s="417"/>
      <c r="G92" s="417"/>
      <c r="K92" s="420"/>
    </row>
    <row r="93" spans="1:11" ht="15" hidden="1" x14ac:dyDescent="0.2">
      <c r="A93" s="336"/>
      <c r="B93" s="457"/>
      <c r="C93" s="555"/>
      <c r="D93" s="556"/>
      <c r="E93" s="556"/>
      <c r="F93" s="557"/>
      <c r="G93" s="333"/>
    </row>
    <row r="94" spans="1:11" ht="27" hidden="1" customHeight="1" x14ac:dyDescent="0.2">
      <c r="A94" s="336">
        <v>13</v>
      </c>
      <c r="B94" s="1041" t="s">
        <v>237</v>
      </c>
      <c r="C94" s="1041"/>
      <c r="D94" s="1041"/>
      <c r="E94" s="1041"/>
      <c r="F94" s="1042"/>
      <c r="G94" s="558"/>
      <c r="K94" s="420"/>
    </row>
    <row r="95" spans="1:11" ht="4.5" hidden="1" customHeight="1" x14ac:dyDescent="0.2">
      <c r="A95" s="336"/>
      <c r="B95" s="417"/>
      <c r="C95" s="417"/>
      <c r="D95" s="417"/>
      <c r="E95" s="417"/>
      <c r="F95" s="417"/>
      <c r="G95" s="417"/>
      <c r="K95" s="420"/>
    </row>
    <row r="96" spans="1:11" ht="15" hidden="1" x14ac:dyDescent="0.2">
      <c r="A96" s="336"/>
      <c r="B96" s="457"/>
      <c r="C96" s="555"/>
      <c r="D96" s="556"/>
      <c r="E96" s="556"/>
      <c r="F96" s="557"/>
      <c r="G96" s="333"/>
    </row>
    <row r="97" spans="1:11" ht="27" hidden="1" customHeight="1" x14ac:dyDescent="0.2">
      <c r="A97" s="336">
        <v>30</v>
      </c>
      <c r="B97" s="1041" t="s">
        <v>237</v>
      </c>
      <c r="C97" s="1041"/>
      <c r="D97" s="1041"/>
      <c r="E97" s="1041"/>
      <c r="F97" s="1042"/>
      <c r="G97" s="558"/>
      <c r="K97" s="420"/>
    </row>
    <row r="98" spans="1:11" ht="4.5" hidden="1" customHeight="1" x14ac:dyDescent="0.2">
      <c r="A98" s="336"/>
      <c r="B98" s="417"/>
      <c r="C98" s="417"/>
      <c r="D98" s="417"/>
      <c r="E98" s="417"/>
      <c r="F98" s="417"/>
      <c r="G98" s="417"/>
      <c r="K98" s="420"/>
    </row>
    <row r="99" spans="1:11" ht="15" x14ac:dyDescent="0.2">
      <c r="A99" s="336"/>
      <c r="B99" s="457"/>
      <c r="C99" s="555"/>
      <c r="D99" s="556"/>
      <c r="E99" s="556"/>
      <c r="F99" s="557"/>
      <c r="G99" s="333" t="s">
        <v>239</v>
      </c>
    </row>
    <row r="100" spans="1:11" ht="27" customHeight="1" x14ac:dyDescent="0.2">
      <c r="A100" s="336">
        <v>31</v>
      </c>
      <c r="B100" s="1041" t="s">
        <v>442</v>
      </c>
      <c r="C100" s="1041"/>
      <c r="D100" s="1041"/>
      <c r="E100" s="1041"/>
      <c r="F100" s="1042"/>
      <c r="G100" s="479"/>
      <c r="K100" s="420"/>
    </row>
    <row r="101" spans="1:11" ht="4.5" customHeight="1" x14ac:dyDescent="0.2">
      <c r="A101" s="336"/>
      <c r="B101" s="417"/>
      <c r="C101" s="417"/>
      <c r="D101" s="417"/>
      <c r="E101" s="417"/>
      <c r="F101" s="417"/>
      <c r="G101" s="417"/>
      <c r="K101" s="420"/>
    </row>
    <row r="102" spans="1:11" ht="15" x14ac:dyDescent="0.2">
      <c r="A102" s="336"/>
      <c r="B102" s="457"/>
      <c r="C102" s="555"/>
      <c r="D102" s="556"/>
      <c r="E102" s="556"/>
      <c r="F102" s="557"/>
      <c r="G102" s="333" t="s">
        <v>239</v>
      </c>
    </row>
    <row r="103" spans="1:11" ht="27" customHeight="1" x14ac:dyDescent="0.2">
      <c r="A103" s="336">
        <v>32</v>
      </c>
      <c r="B103" s="1041" t="s">
        <v>665</v>
      </c>
      <c r="C103" s="1041"/>
      <c r="D103" s="1041"/>
      <c r="E103" s="1041"/>
      <c r="F103" s="1042"/>
      <c r="G103" s="479"/>
      <c r="K103" s="420"/>
    </row>
    <row r="104" spans="1:11" ht="4.5" customHeight="1" x14ac:dyDescent="0.2">
      <c r="A104" s="336"/>
      <c r="B104" s="417"/>
      <c r="C104" s="417"/>
      <c r="D104" s="417"/>
      <c r="E104" s="417"/>
      <c r="F104" s="417"/>
      <c r="G104" s="417"/>
      <c r="K104" s="420"/>
    </row>
    <row r="105" spans="1:11" ht="15" x14ac:dyDescent="0.2">
      <c r="A105" s="336"/>
      <c r="B105" s="457"/>
      <c r="C105" s="555"/>
      <c r="D105" s="556"/>
      <c r="E105" s="556"/>
      <c r="F105" s="557"/>
      <c r="G105" s="333" t="s">
        <v>239</v>
      </c>
    </row>
    <row r="106" spans="1:11" ht="27" customHeight="1" x14ac:dyDescent="0.2">
      <c r="A106" s="336">
        <v>33</v>
      </c>
      <c r="B106" s="1041" t="s">
        <v>443</v>
      </c>
      <c r="C106" s="1041"/>
      <c r="D106" s="1041"/>
      <c r="E106" s="1041"/>
      <c r="F106" s="1042"/>
      <c r="G106" s="479">
        <v>7</v>
      </c>
      <c r="K106" s="420"/>
    </row>
    <row r="107" spans="1:11" ht="4.5" customHeight="1" x14ac:dyDescent="0.2">
      <c r="A107" s="336"/>
      <c r="B107" s="417"/>
      <c r="C107" s="417"/>
      <c r="D107" s="417"/>
      <c r="E107" s="417"/>
      <c r="F107" s="417"/>
      <c r="G107" s="417"/>
      <c r="K107" s="420"/>
    </row>
    <row r="108" spans="1:11" ht="15" x14ac:dyDescent="0.2">
      <c r="A108" s="336"/>
      <c r="B108" s="457"/>
      <c r="C108" s="555"/>
      <c r="D108" s="556"/>
      <c r="E108" s="556"/>
      <c r="F108" s="557"/>
      <c r="G108" s="333" t="s">
        <v>239</v>
      </c>
    </row>
    <row r="109" spans="1:11" ht="27" customHeight="1" x14ac:dyDescent="0.2">
      <c r="A109" s="336">
        <v>34</v>
      </c>
      <c r="B109" s="1041" t="s">
        <v>444</v>
      </c>
      <c r="C109" s="1041"/>
      <c r="D109" s="1041"/>
      <c r="E109" s="1041"/>
      <c r="F109" s="1042"/>
      <c r="G109" s="479">
        <v>1</v>
      </c>
      <c r="K109" s="420"/>
    </row>
    <row r="110" spans="1:11" ht="4.5" hidden="1" customHeight="1" x14ac:dyDescent="0.2">
      <c r="A110" s="336"/>
      <c r="B110" s="417"/>
      <c r="C110" s="417"/>
      <c r="D110" s="417"/>
      <c r="E110" s="417"/>
      <c r="F110" s="417"/>
      <c r="G110" s="417"/>
      <c r="K110" s="420"/>
    </row>
    <row r="111" spans="1:11" ht="15" hidden="1" x14ac:dyDescent="0.2">
      <c r="A111" s="336"/>
      <c r="B111" s="457"/>
      <c r="C111" s="555"/>
      <c r="D111" s="556"/>
      <c r="E111" s="556"/>
      <c r="F111" s="557"/>
      <c r="G111" s="333"/>
    </row>
    <row r="112" spans="1:11" ht="27" hidden="1" customHeight="1" x14ac:dyDescent="0.2">
      <c r="A112" s="336">
        <v>35</v>
      </c>
      <c r="B112" s="1041" t="s">
        <v>237</v>
      </c>
      <c r="C112" s="1041"/>
      <c r="D112" s="1041"/>
      <c r="E112" s="1041"/>
      <c r="F112" s="1042"/>
      <c r="G112" s="558"/>
      <c r="K112" s="420"/>
    </row>
    <row r="113" spans="1:11" ht="4.5" hidden="1" customHeight="1" x14ac:dyDescent="0.2">
      <c r="A113" s="336"/>
      <c r="B113" s="417"/>
      <c r="C113" s="417"/>
      <c r="D113" s="417"/>
      <c r="E113" s="417"/>
      <c r="F113" s="417"/>
      <c r="G113" s="417"/>
      <c r="K113" s="420"/>
    </row>
    <row r="114" spans="1:11" ht="15" hidden="1" x14ac:dyDescent="0.2">
      <c r="A114" s="336"/>
      <c r="B114" s="457"/>
      <c r="C114" s="555"/>
      <c r="D114" s="556"/>
      <c r="E114" s="556"/>
      <c r="F114" s="557"/>
      <c r="G114" s="333"/>
    </row>
    <row r="115" spans="1:11" ht="27" hidden="1" customHeight="1" x14ac:dyDescent="0.2">
      <c r="A115" s="336">
        <v>36</v>
      </c>
      <c r="B115" s="1041" t="s">
        <v>237</v>
      </c>
      <c r="C115" s="1041"/>
      <c r="D115" s="1041"/>
      <c r="E115" s="1041"/>
      <c r="F115" s="1042"/>
      <c r="G115" s="558"/>
      <c r="K115" s="420"/>
    </row>
    <row r="116" spans="1:11" ht="4.5" hidden="1" customHeight="1" x14ac:dyDescent="0.2">
      <c r="A116" s="336"/>
      <c r="B116" s="417"/>
      <c r="C116" s="417"/>
      <c r="D116" s="417"/>
      <c r="E116" s="417"/>
      <c r="F116" s="417"/>
      <c r="G116" s="417"/>
      <c r="K116" s="420"/>
    </row>
    <row r="117" spans="1:11" ht="15" hidden="1" x14ac:dyDescent="0.2">
      <c r="A117" s="336"/>
      <c r="B117" s="457"/>
      <c r="C117" s="555"/>
      <c r="D117" s="556"/>
      <c r="E117" s="556"/>
      <c r="F117" s="557"/>
      <c r="G117" s="333"/>
    </row>
    <row r="118" spans="1:11" ht="27" hidden="1" customHeight="1" x14ac:dyDescent="0.2">
      <c r="A118" s="336">
        <v>37</v>
      </c>
      <c r="B118" s="1041" t="s">
        <v>237</v>
      </c>
      <c r="C118" s="1041"/>
      <c r="D118" s="1041"/>
      <c r="E118" s="1041"/>
      <c r="F118" s="1042"/>
      <c r="G118" s="558"/>
      <c r="K118" s="420"/>
    </row>
    <row r="119" spans="1:11" ht="4.5" hidden="1" customHeight="1" x14ac:dyDescent="0.2">
      <c r="A119" s="336"/>
      <c r="B119" s="417"/>
      <c r="C119" s="417"/>
      <c r="D119" s="417"/>
      <c r="E119" s="417"/>
      <c r="F119" s="417"/>
      <c r="G119" s="417"/>
      <c r="K119" s="420"/>
    </row>
    <row r="120" spans="1:11" ht="15" hidden="1" x14ac:dyDescent="0.2">
      <c r="A120" s="336"/>
      <c r="B120" s="457"/>
      <c r="C120" s="555"/>
      <c r="D120" s="556"/>
      <c r="E120" s="556"/>
      <c r="F120" s="557"/>
      <c r="G120" s="333"/>
    </row>
    <row r="121" spans="1:11" ht="27" hidden="1" customHeight="1" x14ac:dyDescent="0.2">
      <c r="A121" s="336">
        <v>38</v>
      </c>
      <c r="B121" s="1041" t="s">
        <v>237</v>
      </c>
      <c r="C121" s="1041"/>
      <c r="D121" s="1041"/>
      <c r="E121" s="1041"/>
      <c r="F121" s="1042"/>
      <c r="G121" s="558"/>
      <c r="K121" s="420"/>
    </row>
    <row r="122" spans="1:11" ht="4.5" hidden="1" customHeight="1" x14ac:dyDescent="0.2">
      <c r="A122" s="336"/>
      <c r="B122" s="417"/>
      <c r="C122" s="417"/>
      <c r="D122" s="417"/>
      <c r="E122" s="417"/>
      <c r="F122" s="417"/>
      <c r="G122" s="417"/>
      <c r="K122" s="420"/>
    </row>
    <row r="123" spans="1:11" ht="15" hidden="1" x14ac:dyDescent="0.2">
      <c r="A123" s="336"/>
      <c r="B123" s="457"/>
      <c r="C123" s="555"/>
      <c r="D123" s="556"/>
      <c r="E123" s="556"/>
      <c r="F123" s="557"/>
      <c r="G123" s="333"/>
    </row>
    <row r="124" spans="1:11" ht="27" hidden="1" customHeight="1" x14ac:dyDescent="0.2">
      <c r="A124" s="336">
        <v>39</v>
      </c>
      <c r="B124" s="1041" t="s">
        <v>237</v>
      </c>
      <c r="C124" s="1041"/>
      <c r="D124" s="1041"/>
      <c r="E124" s="1041"/>
      <c r="F124" s="1042"/>
      <c r="G124" s="558"/>
      <c r="K124" s="420"/>
    </row>
    <row r="125" spans="1:11" ht="4.5" hidden="1" customHeight="1" x14ac:dyDescent="0.2">
      <c r="A125" s="336"/>
      <c r="B125" s="417"/>
      <c r="C125" s="417"/>
      <c r="D125" s="417"/>
      <c r="E125" s="417"/>
      <c r="F125" s="417"/>
      <c r="G125" s="417"/>
      <c r="K125" s="420"/>
    </row>
    <row r="126" spans="1:11" ht="15" hidden="1" x14ac:dyDescent="0.2">
      <c r="A126" s="336"/>
      <c r="B126" s="457"/>
      <c r="C126" s="555"/>
      <c r="D126" s="556"/>
      <c r="E126" s="556"/>
      <c r="F126" s="557"/>
      <c r="G126" s="333"/>
    </row>
    <row r="127" spans="1:11" ht="27" hidden="1" customHeight="1" x14ac:dyDescent="0.2">
      <c r="A127" s="336">
        <v>40</v>
      </c>
      <c r="B127" s="1041" t="s">
        <v>237</v>
      </c>
      <c r="C127" s="1041"/>
      <c r="D127" s="1041"/>
      <c r="E127" s="1041"/>
      <c r="F127" s="1042"/>
      <c r="G127" s="558"/>
      <c r="K127" s="420"/>
    </row>
    <row r="128" spans="1:11" ht="4.5" hidden="1" customHeight="1" x14ac:dyDescent="0.2">
      <c r="A128" s="336"/>
      <c r="B128" s="417"/>
      <c r="C128" s="417"/>
      <c r="D128" s="417"/>
      <c r="E128" s="417"/>
      <c r="F128" s="417"/>
      <c r="G128" s="417"/>
      <c r="K128" s="420"/>
    </row>
    <row r="129" spans="1:11" ht="15" hidden="1" x14ac:dyDescent="0.2">
      <c r="A129" s="336"/>
      <c r="B129" s="457"/>
      <c r="C129" s="555"/>
      <c r="D129" s="556"/>
      <c r="E129" s="556"/>
      <c r="F129" s="557"/>
      <c r="G129" s="333"/>
    </row>
    <row r="130" spans="1:11" ht="27" hidden="1" customHeight="1" x14ac:dyDescent="0.2">
      <c r="A130" s="336">
        <v>41</v>
      </c>
      <c r="B130" s="1041" t="s">
        <v>237</v>
      </c>
      <c r="C130" s="1041"/>
      <c r="D130" s="1041"/>
      <c r="E130" s="1041"/>
      <c r="F130" s="1042"/>
      <c r="G130" s="558"/>
      <c r="K130" s="420"/>
    </row>
    <row r="131" spans="1:11" ht="4.5" hidden="1" customHeight="1" x14ac:dyDescent="0.2">
      <c r="A131" s="336"/>
      <c r="B131" s="417"/>
      <c r="C131" s="417"/>
      <c r="D131" s="417"/>
      <c r="E131" s="417"/>
      <c r="F131" s="417"/>
      <c r="G131" s="417"/>
      <c r="K131" s="420"/>
    </row>
    <row r="132" spans="1:11" ht="15" hidden="1" x14ac:dyDescent="0.2">
      <c r="A132" s="336"/>
      <c r="B132" s="457"/>
      <c r="C132" s="555"/>
      <c r="D132" s="556"/>
      <c r="E132" s="556"/>
      <c r="F132" s="557"/>
      <c r="G132" s="333"/>
    </row>
    <row r="133" spans="1:11" ht="27" hidden="1" customHeight="1" x14ac:dyDescent="0.2">
      <c r="A133" s="336">
        <v>42</v>
      </c>
      <c r="B133" s="1041" t="s">
        <v>237</v>
      </c>
      <c r="C133" s="1041"/>
      <c r="D133" s="1041"/>
      <c r="E133" s="1041"/>
      <c r="F133" s="1042"/>
      <c r="G133" s="558"/>
      <c r="K133" s="420"/>
    </row>
    <row r="134" spans="1:11" ht="4.5" hidden="1" customHeight="1" x14ac:dyDescent="0.2">
      <c r="A134" s="336"/>
      <c r="B134" s="417"/>
      <c r="C134" s="417"/>
      <c r="D134" s="417"/>
      <c r="E134" s="417"/>
      <c r="F134" s="417"/>
      <c r="G134" s="417"/>
      <c r="K134" s="420"/>
    </row>
    <row r="135" spans="1:11" ht="15" hidden="1" x14ac:dyDescent="0.2">
      <c r="A135" s="336"/>
      <c r="B135" s="457"/>
      <c r="C135" s="555"/>
      <c r="D135" s="556"/>
      <c r="E135" s="556"/>
      <c r="F135" s="557"/>
      <c r="G135" s="333"/>
    </row>
    <row r="136" spans="1:11" ht="27" hidden="1" customHeight="1" x14ac:dyDescent="0.2">
      <c r="A136" s="336">
        <v>43</v>
      </c>
      <c r="B136" s="1041" t="s">
        <v>237</v>
      </c>
      <c r="C136" s="1041"/>
      <c r="D136" s="1041"/>
      <c r="E136" s="1041"/>
      <c r="F136" s="1042"/>
      <c r="G136" s="558"/>
      <c r="K136" s="420"/>
    </row>
    <row r="137" spans="1:11" ht="4.5" hidden="1" customHeight="1" x14ac:dyDescent="0.2">
      <c r="A137" s="336"/>
      <c r="B137" s="417"/>
      <c r="C137" s="417"/>
      <c r="D137" s="417"/>
      <c r="E137" s="417"/>
      <c r="F137" s="417"/>
      <c r="G137" s="417"/>
      <c r="K137" s="420"/>
    </row>
    <row r="138" spans="1:11" ht="15" hidden="1" x14ac:dyDescent="0.2">
      <c r="A138" s="336"/>
      <c r="B138" s="457"/>
      <c r="C138" s="555"/>
      <c r="D138" s="556"/>
      <c r="E138" s="556"/>
      <c r="F138" s="557"/>
      <c r="G138" s="333"/>
    </row>
    <row r="139" spans="1:11" ht="27" hidden="1" customHeight="1" x14ac:dyDescent="0.2">
      <c r="A139" s="336">
        <v>44</v>
      </c>
      <c r="B139" s="1041" t="s">
        <v>237</v>
      </c>
      <c r="C139" s="1041"/>
      <c r="D139" s="1041"/>
      <c r="E139" s="1041"/>
      <c r="F139" s="1042"/>
      <c r="G139" s="558"/>
      <c r="K139" s="420"/>
    </row>
    <row r="140" spans="1:11" ht="4.5" hidden="1" customHeight="1" x14ac:dyDescent="0.2">
      <c r="A140" s="336"/>
      <c r="B140" s="417"/>
      <c r="C140" s="417"/>
      <c r="D140" s="417"/>
      <c r="E140" s="417"/>
      <c r="F140" s="417"/>
      <c r="G140" s="417"/>
      <c r="K140" s="420"/>
    </row>
    <row r="141" spans="1:11" ht="15" hidden="1" x14ac:dyDescent="0.2">
      <c r="A141" s="336"/>
      <c r="B141" s="457"/>
      <c r="C141" s="555"/>
      <c r="D141" s="556"/>
      <c r="E141" s="556"/>
      <c r="F141" s="557"/>
      <c r="G141" s="333"/>
    </row>
    <row r="142" spans="1:11" ht="27" hidden="1" customHeight="1" x14ac:dyDescent="0.2">
      <c r="A142" s="336">
        <v>45</v>
      </c>
      <c r="B142" s="1041" t="s">
        <v>237</v>
      </c>
      <c r="C142" s="1041"/>
      <c r="D142" s="1041"/>
      <c r="E142" s="1041"/>
      <c r="F142" s="1042"/>
      <c r="G142" s="558"/>
      <c r="K142" s="420"/>
    </row>
    <row r="143" spans="1:11" ht="4.5" hidden="1" customHeight="1" x14ac:dyDescent="0.2">
      <c r="A143" s="336"/>
      <c r="B143" s="417"/>
      <c r="C143" s="417"/>
      <c r="D143" s="417"/>
      <c r="E143" s="417"/>
      <c r="F143" s="417"/>
      <c r="G143" s="417"/>
      <c r="K143" s="420"/>
    </row>
    <row r="144" spans="1:11" ht="15" hidden="1" x14ac:dyDescent="0.2">
      <c r="A144" s="336"/>
      <c r="B144" s="457"/>
      <c r="C144" s="555"/>
      <c r="D144" s="556"/>
      <c r="E144" s="556"/>
      <c r="F144" s="557"/>
      <c r="G144" s="333"/>
    </row>
    <row r="145" spans="1:11" ht="27" hidden="1" customHeight="1" x14ac:dyDescent="0.2">
      <c r="A145" s="336">
        <v>46</v>
      </c>
      <c r="B145" s="1041" t="s">
        <v>237</v>
      </c>
      <c r="C145" s="1041"/>
      <c r="D145" s="1041"/>
      <c r="E145" s="1041"/>
      <c r="F145" s="1042"/>
      <c r="G145" s="558"/>
      <c r="K145" s="420"/>
    </row>
    <row r="146" spans="1:11" ht="4.2" hidden="1" customHeight="1" x14ac:dyDescent="0.2">
      <c r="A146" s="336"/>
      <c r="B146" s="417"/>
      <c r="C146" s="417"/>
      <c r="D146" s="417"/>
      <c r="E146" s="417"/>
      <c r="F146" s="417"/>
      <c r="G146" s="604"/>
      <c r="K146" s="420"/>
    </row>
    <row r="147" spans="1:11" ht="15" hidden="1" customHeight="1" x14ac:dyDescent="0.2">
      <c r="A147" s="336"/>
      <c r="B147" s="417"/>
      <c r="C147" s="417"/>
      <c r="D147" s="417"/>
      <c r="E147" s="417"/>
      <c r="F147" s="417"/>
      <c r="G147" s="775"/>
      <c r="K147" s="420"/>
    </row>
    <row r="148" spans="1:11" ht="27" hidden="1" customHeight="1" x14ac:dyDescent="0.2">
      <c r="A148" s="336">
        <v>47</v>
      </c>
      <c r="B148" s="1041" t="s">
        <v>237</v>
      </c>
      <c r="C148" s="1041"/>
      <c r="D148" s="1041"/>
      <c r="E148" s="1041"/>
      <c r="F148" s="1042"/>
      <c r="G148" s="558"/>
      <c r="K148" s="420"/>
    </row>
    <row r="149" spans="1:11" ht="4.2" hidden="1" customHeight="1" x14ac:dyDescent="0.2">
      <c r="A149" s="336"/>
      <c r="B149" s="302"/>
      <c r="C149" s="417"/>
      <c r="D149" s="417"/>
      <c r="E149" s="417"/>
      <c r="F149" s="417"/>
      <c r="G149" s="417"/>
      <c r="K149" s="420"/>
    </row>
    <row r="150" spans="1:11" ht="15" hidden="1" customHeight="1" x14ac:dyDescent="0.2">
      <c r="A150" s="336"/>
      <c r="B150" s="417"/>
      <c r="C150" s="417"/>
      <c r="D150" s="417"/>
      <c r="E150" s="417"/>
      <c r="F150" s="417"/>
      <c r="G150" s="775"/>
      <c r="K150" s="420"/>
    </row>
    <row r="151" spans="1:11" ht="27" hidden="1" customHeight="1" x14ac:dyDescent="0.2">
      <c r="A151" s="336">
        <v>48</v>
      </c>
      <c r="B151" s="1041" t="s">
        <v>237</v>
      </c>
      <c r="C151" s="1041"/>
      <c r="D151" s="1041"/>
      <c r="E151" s="1041"/>
      <c r="F151" s="1042"/>
      <c r="G151" s="558"/>
      <c r="K151" s="420"/>
    </row>
    <row r="152" spans="1:11" ht="3.6" hidden="1" customHeight="1" x14ac:dyDescent="0.2">
      <c r="A152" s="336"/>
      <c r="B152" s="417"/>
      <c r="C152" s="417"/>
      <c r="D152" s="417"/>
      <c r="E152" s="417"/>
      <c r="F152" s="417"/>
      <c r="G152" s="604"/>
      <c r="K152" s="420"/>
    </row>
    <row r="153" spans="1:11" ht="15" hidden="1" customHeight="1" x14ac:dyDescent="0.2">
      <c r="A153" s="336"/>
      <c r="B153" s="417"/>
      <c r="C153" s="417"/>
      <c r="D153" s="417"/>
      <c r="E153" s="417"/>
      <c r="F153" s="417"/>
      <c r="G153" s="775"/>
      <c r="K153" s="420"/>
    </row>
    <row r="154" spans="1:11" ht="27" hidden="1" customHeight="1" x14ac:dyDescent="0.2">
      <c r="A154" s="336">
        <v>49</v>
      </c>
      <c r="B154" s="1041" t="s">
        <v>237</v>
      </c>
      <c r="C154" s="1041"/>
      <c r="D154" s="1041"/>
      <c r="E154" s="1041"/>
      <c r="F154" s="1042"/>
      <c r="G154" s="558"/>
      <c r="K154" s="420"/>
    </row>
    <row r="155" spans="1:11" ht="4.5" hidden="1" customHeight="1" x14ac:dyDescent="0.2">
      <c r="A155" s="336"/>
      <c r="B155" s="417"/>
      <c r="C155" s="417"/>
      <c r="D155" s="417"/>
      <c r="E155" s="417"/>
      <c r="F155" s="417"/>
      <c r="G155" s="417"/>
      <c r="K155" s="420"/>
    </row>
    <row r="156" spans="1:11" ht="15" hidden="1" x14ac:dyDescent="0.2">
      <c r="A156" s="336"/>
      <c r="B156" s="457"/>
      <c r="C156" s="555"/>
      <c r="D156" s="556"/>
      <c r="E156" s="556"/>
      <c r="F156" s="557"/>
      <c r="G156" s="775"/>
    </row>
    <row r="157" spans="1:11" ht="27" hidden="1" customHeight="1" x14ac:dyDescent="0.2">
      <c r="A157" s="336">
        <v>50</v>
      </c>
      <c r="B157" s="1041" t="s">
        <v>237</v>
      </c>
      <c r="C157" s="1041"/>
      <c r="D157" s="1041"/>
      <c r="E157" s="1041"/>
      <c r="F157" s="1042"/>
      <c r="G157" s="558"/>
      <c r="K157" s="420"/>
    </row>
    <row r="158" spans="1:11" ht="4.5" hidden="1" customHeight="1" x14ac:dyDescent="0.2">
      <c r="A158" s="336"/>
      <c r="B158" s="417"/>
      <c r="C158" s="417"/>
      <c r="D158" s="417"/>
      <c r="E158" s="417"/>
      <c r="F158" s="417"/>
      <c r="G158" s="417"/>
      <c r="K158" s="420"/>
    </row>
    <row r="159" spans="1:11" ht="15" hidden="1" x14ac:dyDescent="0.2">
      <c r="A159" s="336"/>
      <c r="B159" s="457"/>
      <c r="C159" s="555"/>
      <c r="D159" s="556"/>
      <c r="E159" s="556"/>
      <c r="F159" s="557"/>
      <c r="G159" s="775"/>
    </row>
    <row r="160" spans="1:11" ht="27" hidden="1" customHeight="1" x14ac:dyDescent="0.2">
      <c r="A160" s="336">
        <v>51</v>
      </c>
      <c r="B160" s="1041" t="s">
        <v>237</v>
      </c>
      <c r="C160" s="1041"/>
      <c r="D160" s="1041"/>
      <c r="E160" s="1041"/>
      <c r="F160" s="1042"/>
      <c r="G160" s="558"/>
      <c r="K160" s="420"/>
    </row>
    <row r="161" spans="1:11" ht="4.5" hidden="1" customHeight="1" x14ac:dyDescent="0.2">
      <c r="A161" s="336"/>
      <c r="B161" s="417"/>
      <c r="C161" s="417"/>
      <c r="D161" s="417"/>
      <c r="E161" s="417"/>
      <c r="F161" s="417"/>
      <c r="G161" s="417"/>
      <c r="K161" s="420"/>
    </row>
    <row r="162" spans="1:11" ht="15" hidden="1" x14ac:dyDescent="0.2">
      <c r="A162" s="336"/>
      <c r="B162" s="457"/>
      <c r="C162" s="555"/>
      <c r="D162" s="556"/>
      <c r="E162" s="556"/>
      <c r="F162" s="557"/>
      <c r="G162" s="775"/>
    </row>
    <row r="163" spans="1:11" ht="27" hidden="1" customHeight="1" x14ac:dyDescent="0.2">
      <c r="A163" s="336">
        <v>52</v>
      </c>
      <c r="B163" s="1041" t="s">
        <v>237</v>
      </c>
      <c r="C163" s="1041"/>
      <c r="D163" s="1041"/>
      <c r="E163" s="1041"/>
      <c r="F163" s="1042"/>
      <c r="G163" s="558"/>
      <c r="K163" s="420"/>
    </row>
    <row r="164" spans="1:11" ht="4.5" hidden="1" customHeight="1" x14ac:dyDescent="0.2">
      <c r="A164" s="336"/>
      <c r="B164" s="417"/>
      <c r="C164" s="417"/>
      <c r="D164" s="417"/>
      <c r="E164" s="417"/>
      <c r="F164" s="417"/>
      <c r="G164" s="417"/>
      <c r="K164" s="420"/>
    </row>
    <row r="165" spans="1:11" ht="15" hidden="1" x14ac:dyDescent="0.2">
      <c r="A165" s="336"/>
      <c r="B165" s="457"/>
      <c r="C165" s="555"/>
      <c r="D165" s="556"/>
      <c r="E165" s="556"/>
      <c r="F165" s="557"/>
      <c r="G165" s="775"/>
    </row>
    <row r="166" spans="1:11" ht="27" hidden="1" customHeight="1" x14ac:dyDescent="0.2">
      <c r="A166" s="336">
        <v>53</v>
      </c>
      <c r="B166" s="1041" t="s">
        <v>237</v>
      </c>
      <c r="C166" s="1041"/>
      <c r="D166" s="1041"/>
      <c r="E166" s="1041"/>
      <c r="F166" s="1042"/>
      <c r="G166" s="558"/>
      <c r="K166" s="420"/>
    </row>
    <row r="167" spans="1:11" ht="4.5" hidden="1" customHeight="1" x14ac:dyDescent="0.2">
      <c r="A167" s="336"/>
      <c r="B167" s="417"/>
      <c r="C167" s="417"/>
      <c r="D167" s="417"/>
      <c r="E167" s="417"/>
      <c r="F167" s="417"/>
      <c r="G167" s="417"/>
      <c r="K167" s="420"/>
    </row>
    <row r="168" spans="1:11" ht="15" hidden="1" x14ac:dyDescent="0.2">
      <c r="A168" s="336"/>
      <c r="B168" s="457"/>
      <c r="C168" s="555"/>
      <c r="D168" s="556"/>
      <c r="E168" s="556"/>
      <c r="F168" s="557"/>
      <c r="G168" s="775"/>
    </row>
    <row r="169" spans="1:11" ht="27" hidden="1" customHeight="1" x14ac:dyDescent="0.2">
      <c r="A169" s="336">
        <v>54</v>
      </c>
      <c r="B169" s="1041" t="s">
        <v>237</v>
      </c>
      <c r="C169" s="1041"/>
      <c r="D169" s="1041"/>
      <c r="E169" s="1041"/>
      <c r="F169" s="1042"/>
      <c r="G169" s="558"/>
      <c r="K169" s="420"/>
    </row>
    <row r="170" spans="1:11" ht="4.2" hidden="1" customHeight="1" x14ac:dyDescent="0.2">
      <c r="A170" s="336"/>
      <c r="B170" s="417"/>
      <c r="C170" s="417"/>
      <c r="D170" s="417"/>
      <c r="E170" s="417"/>
      <c r="F170" s="417"/>
      <c r="G170" s="417"/>
      <c r="K170" s="420"/>
    </row>
    <row r="171" spans="1:11" ht="15" hidden="1" x14ac:dyDescent="0.2">
      <c r="A171" s="336"/>
      <c r="B171" s="457"/>
      <c r="C171" s="555"/>
      <c r="D171" s="556"/>
      <c r="E171" s="556"/>
      <c r="F171" s="557"/>
      <c r="G171" s="775"/>
    </row>
    <row r="172" spans="1:11" ht="27" hidden="1" customHeight="1" x14ac:dyDescent="0.2">
      <c r="A172" s="336">
        <v>55</v>
      </c>
      <c r="B172" s="1041" t="s">
        <v>237</v>
      </c>
      <c r="C172" s="1041"/>
      <c r="D172" s="1041"/>
      <c r="E172" s="1041"/>
      <c r="F172" s="1042"/>
      <c r="G172" s="558"/>
      <c r="K172" s="420"/>
    </row>
    <row r="173" spans="1:11" ht="4.5" hidden="1" customHeight="1" x14ac:dyDescent="0.2">
      <c r="A173" s="336"/>
      <c r="B173" s="417"/>
      <c r="C173" s="417"/>
      <c r="D173" s="417"/>
      <c r="E173" s="417"/>
      <c r="F173" s="417"/>
      <c r="G173" s="417"/>
      <c r="K173" s="420"/>
    </row>
    <row r="174" spans="1:11" ht="15" hidden="1" x14ac:dyDescent="0.2">
      <c r="A174" s="336"/>
      <c r="B174" s="457"/>
      <c r="C174" s="555"/>
      <c r="D174" s="556"/>
      <c r="E174" s="556"/>
      <c r="F174" s="557"/>
      <c r="G174" s="775"/>
    </row>
    <row r="175" spans="1:11" ht="27" hidden="1" customHeight="1" x14ac:dyDescent="0.2">
      <c r="A175" s="336">
        <v>56</v>
      </c>
      <c r="B175" s="1041" t="s">
        <v>237</v>
      </c>
      <c r="C175" s="1041"/>
      <c r="D175" s="1041"/>
      <c r="E175" s="1041"/>
      <c r="F175" s="1042"/>
      <c r="G175" s="558"/>
      <c r="K175" s="420"/>
    </row>
    <row r="176" spans="1:11" ht="4.5" hidden="1" customHeight="1" x14ac:dyDescent="0.2">
      <c r="A176" s="336"/>
      <c r="B176" s="417"/>
      <c r="C176" s="417"/>
      <c r="D176" s="417"/>
      <c r="E176" s="417"/>
      <c r="F176" s="417"/>
      <c r="G176" s="417"/>
      <c r="K176" s="420"/>
    </row>
    <row r="177" spans="1:11" ht="15" hidden="1" x14ac:dyDescent="0.2">
      <c r="A177" s="336"/>
      <c r="B177" s="457"/>
      <c r="C177" s="555"/>
      <c r="D177" s="556"/>
      <c r="E177" s="556"/>
      <c r="F177" s="557"/>
      <c r="G177" s="775"/>
    </row>
    <row r="178" spans="1:11" ht="27" hidden="1" customHeight="1" x14ac:dyDescent="0.2">
      <c r="A178" s="336">
        <v>57</v>
      </c>
      <c r="B178" s="1041" t="s">
        <v>237</v>
      </c>
      <c r="C178" s="1041"/>
      <c r="D178" s="1041"/>
      <c r="E178" s="1041"/>
      <c r="F178" s="1042"/>
      <c r="G178" s="558"/>
      <c r="K178" s="420"/>
    </row>
    <row r="179" spans="1:11" ht="4.5" hidden="1" customHeight="1" x14ac:dyDescent="0.2">
      <c r="A179" s="336"/>
      <c r="B179" s="417"/>
      <c r="C179" s="417"/>
      <c r="D179" s="417"/>
      <c r="E179" s="417"/>
      <c r="F179" s="417"/>
      <c r="G179" s="417"/>
      <c r="K179" s="420"/>
    </row>
    <row r="180" spans="1:11" ht="15" hidden="1" x14ac:dyDescent="0.2">
      <c r="A180" s="336"/>
      <c r="B180" s="457"/>
      <c r="C180" s="555"/>
      <c r="D180" s="556"/>
      <c r="E180" s="556"/>
      <c r="F180" s="557"/>
      <c r="G180" s="775"/>
    </row>
    <row r="181" spans="1:11" ht="27" hidden="1" customHeight="1" x14ac:dyDescent="0.2">
      <c r="A181" s="336">
        <v>58</v>
      </c>
      <c r="B181" s="1041" t="s">
        <v>237</v>
      </c>
      <c r="C181" s="1041"/>
      <c r="D181" s="1041"/>
      <c r="E181" s="1041"/>
      <c r="F181" s="1042"/>
      <c r="G181" s="558"/>
      <c r="K181" s="420"/>
    </row>
    <row r="182" spans="1:11" ht="4.5" hidden="1" customHeight="1" x14ac:dyDescent="0.2">
      <c r="A182" s="336"/>
      <c r="B182" s="417"/>
      <c r="C182" s="417"/>
      <c r="D182" s="417"/>
      <c r="E182" s="417"/>
      <c r="F182" s="417"/>
      <c r="G182" s="417"/>
      <c r="K182" s="420"/>
    </row>
    <row r="183" spans="1:11" ht="15" hidden="1" x14ac:dyDescent="0.2">
      <c r="A183" s="336"/>
      <c r="B183" s="457"/>
      <c r="C183" s="555"/>
      <c r="D183" s="556"/>
      <c r="E183" s="556"/>
      <c r="F183" s="557"/>
      <c r="G183" s="775"/>
    </row>
    <row r="184" spans="1:11" ht="27" hidden="1" customHeight="1" x14ac:dyDescent="0.2">
      <c r="A184" s="336">
        <v>59</v>
      </c>
      <c r="B184" s="1041" t="s">
        <v>237</v>
      </c>
      <c r="C184" s="1041"/>
      <c r="D184" s="1041"/>
      <c r="E184" s="1041"/>
      <c r="F184" s="1042"/>
      <c r="G184" s="558"/>
      <c r="K184" s="420"/>
    </row>
    <row r="185" spans="1:11" ht="3.6" hidden="1" customHeight="1" x14ac:dyDescent="0.2">
      <c r="A185" s="336"/>
      <c r="B185" s="457"/>
      <c r="C185" s="555"/>
      <c r="D185" s="556"/>
      <c r="E185" s="556"/>
      <c r="F185" s="557"/>
      <c r="G185" s="420"/>
    </row>
    <row r="186" spans="1:11" ht="15" hidden="1" x14ac:dyDescent="0.2">
      <c r="A186" s="336"/>
      <c r="B186" s="457"/>
      <c r="C186" s="555"/>
      <c r="D186" s="556"/>
      <c r="E186" s="556"/>
      <c r="F186" s="557"/>
      <c r="G186" s="775"/>
    </row>
    <row r="187" spans="1:11" ht="27" hidden="1" customHeight="1" x14ac:dyDescent="0.2">
      <c r="A187" s="336">
        <v>60</v>
      </c>
      <c r="B187" s="1041" t="s">
        <v>237</v>
      </c>
      <c r="C187" s="1041"/>
      <c r="D187" s="1041"/>
      <c r="E187" s="1041"/>
      <c r="F187" s="1042"/>
      <c r="G187" s="558"/>
      <c r="K187" s="420"/>
    </row>
    <row r="188" spans="1:11" ht="3.6" hidden="1" customHeight="1" x14ac:dyDescent="0.2">
      <c r="A188" s="336"/>
      <c r="B188" s="457"/>
      <c r="C188" s="555"/>
      <c r="D188" s="556"/>
      <c r="E188" s="556"/>
      <c r="F188" s="557"/>
      <c r="G188" s="420"/>
    </row>
    <row r="189" spans="1:11" ht="15" hidden="1" x14ac:dyDescent="0.2">
      <c r="A189" s="336"/>
      <c r="B189" s="457"/>
      <c r="C189" s="555"/>
      <c r="D189" s="556"/>
      <c r="E189" s="556"/>
      <c r="F189" s="557"/>
      <c r="G189" s="775"/>
    </row>
    <row r="190" spans="1:11" ht="27" hidden="1" customHeight="1" x14ac:dyDescent="0.2">
      <c r="A190" s="336">
        <v>61</v>
      </c>
      <c r="B190" s="1041" t="s">
        <v>237</v>
      </c>
      <c r="C190" s="1041"/>
      <c r="D190" s="1041"/>
      <c r="E190" s="1041"/>
      <c r="F190" s="1042"/>
      <c r="G190" s="558"/>
      <c r="K190" s="420"/>
    </row>
    <row r="191" spans="1:11" ht="4.5" customHeight="1" x14ac:dyDescent="0.2">
      <c r="A191" s="336"/>
      <c r="B191" s="417"/>
      <c r="C191" s="417"/>
      <c r="D191" s="417"/>
      <c r="E191" s="417"/>
      <c r="F191" s="417"/>
      <c r="G191" s="417"/>
      <c r="K191" s="420"/>
    </row>
    <row r="192" spans="1:11" ht="15" x14ac:dyDescent="0.2">
      <c r="A192" s="336"/>
      <c r="B192" s="457"/>
      <c r="C192" s="555"/>
      <c r="D192" s="556"/>
      <c r="E192" s="556"/>
      <c r="F192" s="557"/>
      <c r="G192" s="775" t="s">
        <v>239</v>
      </c>
      <c r="K192" s="309"/>
    </row>
    <row r="193" spans="1:11" ht="27" customHeight="1" x14ac:dyDescent="0.2">
      <c r="A193" s="336">
        <v>62</v>
      </c>
      <c r="B193" s="1041" t="s">
        <v>650</v>
      </c>
      <c r="C193" s="1041"/>
      <c r="D193" s="1041"/>
      <c r="E193" s="1041"/>
      <c r="F193" s="1042"/>
      <c r="G193" s="784"/>
      <c r="K193" s="990"/>
    </row>
    <row r="194" spans="1:11" ht="4.5" customHeight="1" x14ac:dyDescent="0.2">
      <c r="A194" s="336"/>
      <c r="B194" s="417"/>
      <c r="C194" s="417"/>
      <c r="D194" s="417"/>
      <c r="E194" s="417"/>
      <c r="F194" s="417"/>
      <c r="G194" s="417"/>
      <c r="K194" s="990"/>
    </row>
    <row r="195" spans="1:11" ht="15" x14ac:dyDescent="0.2">
      <c r="A195" s="336"/>
      <c r="B195" s="457"/>
      <c r="C195" s="555"/>
      <c r="D195" s="556"/>
      <c r="E195" s="556"/>
      <c r="F195" s="557"/>
      <c r="G195" s="775" t="s">
        <v>239</v>
      </c>
      <c r="K195" s="309"/>
    </row>
    <row r="196" spans="1:11" ht="27" customHeight="1" x14ac:dyDescent="0.2">
      <c r="A196" s="336">
        <v>63</v>
      </c>
      <c r="B196" s="1041" t="s">
        <v>651</v>
      </c>
      <c r="C196" s="1041"/>
      <c r="D196" s="1041"/>
      <c r="E196" s="1041"/>
      <c r="F196" s="1042"/>
      <c r="G196" s="784"/>
      <c r="K196" s="990"/>
    </row>
    <row r="197" spans="1:11" ht="4.5" customHeight="1" x14ac:dyDescent="0.2">
      <c r="A197" s="336"/>
      <c r="B197" s="417"/>
      <c r="C197" s="417"/>
      <c r="D197" s="417"/>
      <c r="E197" s="417"/>
      <c r="F197" s="417"/>
      <c r="G197" s="417"/>
      <c r="K197" s="990"/>
    </row>
    <row r="198" spans="1:11" ht="15" x14ac:dyDescent="0.2">
      <c r="A198" s="336"/>
      <c r="B198" s="457"/>
      <c r="C198" s="555"/>
      <c r="D198" s="556"/>
      <c r="E198" s="556"/>
      <c r="F198" s="557"/>
      <c r="G198" s="775" t="s">
        <v>239</v>
      </c>
      <c r="K198" s="309"/>
    </row>
    <row r="199" spans="1:11" ht="27" customHeight="1" x14ac:dyDescent="0.2">
      <c r="A199" s="336">
        <v>64</v>
      </c>
      <c r="B199" s="1041" t="s">
        <v>666</v>
      </c>
      <c r="C199" s="1041"/>
      <c r="D199" s="1041"/>
      <c r="E199" s="1041"/>
      <c r="F199" s="1042"/>
      <c r="G199" s="784"/>
      <c r="K199" s="990"/>
    </row>
    <row r="200" spans="1:11" ht="4.2" hidden="1" customHeight="1" x14ac:dyDescent="0.2">
      <c r="A200" s="336"/>
      <c r="B200" s="417"/>
      <c r="C200" s="417"/>
      <c r="D200" s="417"/>
      <c r="E200" s="417"/>
      <c r="F200" s="417"/>
      <c r="G200" s="417"/>
      <c r="K200" s="420"/>
    </row>
    <row r="201" spans="1:11" ht="15" hidden="1" x14ac:dyDescent="0.2">
      <c r="A201" s="336"/>
      <c r="B201" s="457"/>
      <c r="C201" s="555"/>
      <c r="D201" s="556"/>
      <c r="E201" s="556"/>
      <c r="F201" s="557"/>
      <c r="G201" s="775"/>
    </row>
    <row r="202" spans="1:11" ht="27" hidden="1" customHeight="1" x14ac:dyDescent="0.2">
      <c r="A202" s="336">
        <v>65</v>
      </c>
      <c r="B202" s="1041" t="s">
        <v>237</v>
      </c>
      <c r="C202" s="1041"/>
      <c r="D202" s="1041"/>
      <c r="E202" s="1041"/>
      <c r="F202" s="1042"/>
      <c r="G202" s="558"/>
      <c r="K202" s="420"/>
    </row>
    <row r="203" spans="1:11" ht="4.5" hidden="1" customHeight="1" x14ac:dyDescent="0.2">
      <c r="A203" s="336"/>
      <c r="B203" s="417"/>
      <c r="C203" s="417"/>
      <c r="D203" s="417"/>
      <c r="E203" s="417"/>
      <c r="F203" s="417"/>
      <c r="G203" s="417"/>
      <c r="K203" s="420"/>
    </row>
    <row r="204" spans="1:11" ht="15" hidden="1" x14ac:dyDescent="0.2">
      <c r="A204" s="336"/>
      <c r="B204" s="457"/>
      <c r="C204" s="555"/>
      <c r="D204" s="556"/>
      <c r="E204" s="556"/>
      <c r="F204" s="557"/>
      <c r="G204" s="775"/>
    </row>
    <row r="205" spans="1:11" ht="27" hidden="1" customHeight="1" x14ac:dyDescent="0.2">
      <c r="A205" s="336">
        <v>66</v>
      </c>
      <c r="B205" s="1041" t="s">
        <v>237</v>
      </c>
      <c r="C205" s="1041"/>
      <c r="D205" s="1041"/>
      <c r="E205" s="1041"/>
      <c r="F205" s="1042"/>
      <c r="G205" s="558"/>
      <c r="K205" s="420"/>
    </row>
    <row r="206" spans="1:11" ht="4.5" hidden="1" customHeight="1" x14ac:dyDescent="0.2">
      <c r="A206" s="336"/>
      <c r="B206" s="417"/>
      <c r="C206" s="417"/>
      <c r="D206" s="417"/>
      <c r="E206" s="417"/>
      <c r="F206" s="417"/>
      <c r="G206" s="417"/>
      <c r="K206" s="420"/>
    </row>
    <row r="207" spans="1:11" ht="15" hidden="1" x14ac:dyDescent="0.2">
      <c r="A207" s="336"/>
      <c r="B207" s="457"/>
      <c r="C207" s="555"/>
      <c r="D207" s="556"/>
      <c r="E207" s="556"/>
      <c r="F207" s="557"/>
      <c r="G207" s="775"/>
    </row>
    <row r="208" spans="1:11" ht="27" hidden="1" customHeight="1" x14ac:dyDescent="0.2">
      <c r="A208" s="336">
        <v>67</v>
      </c>
      <c r="B208" s="1041" t="s">
        <v>237</v>
      </c>
      <c r="C208" s="1041"/>
      <c r="D208" s="1041"/>
      <c r="E208" s="1041"/>
      <c r="F208" s="1042"/>
      <c r="G208" s="558"/>
      <c r="K208" s="420"/>
    </row>
    <row r="209" spans="1:11" ht="20.25" customHeight="1" x14ac:dyDescent="0.2">
      <c r="A209" s="336"/>
      <c r="B209" s="417"/>
      <c r="C209" s="417"/>
      <c r="D209" s="417"/>
      <c r="E209" s="417"/>
      <c r="F209" s="417"/>
      <c r="K209" s="420"/>
    </row>
    <row r="210" spans="1:11" ht="33" customHeight="1" x14ac:dyDescent="0.2">
      <c r="A210" s="336"/>
      <c r="B210" s="1060" t="s">
        <v>505</v>
      </c>
      <c r="C210" s="1061"/>
      <c r="D210" s="1061"/>
      <c r="E210" s="1061"/>
      <c r="F210" s="1061"/>
      <c r="G210" s="1062"/>
    </row>
    <row r="211" spans="1:11" ht="41.25" customHeight="1" x14ac:dyDescent="0.2">
      <c r="A211" s="336"/>
      <c r="B211" s="1063"/>
      <c r="C211" s="1064"/>
      <c r="D211" s="1064"/>
      <c r="E211" s="1064"/>
      <c r="F211" s="1064"/>
      <c r="G211" s="1065"/>
      <c r="K211" s="420" t="str">
        <f>IF(LEN(B211)&gt;1500,"IL NUMERO MASSIMO DI CARATTERI CONSENTITO E' 1500","")</f>
        <v/>
      </c>
    </row>
    <row r="212" spans="1:11" ht="12.75" customHeight="1" x14ac:dyDescent="0.2">
      <c r="A212" s="336"/>
      <c r="B212" s="1066"/>
      <c r="C212" s="1067"/>
      <c r="D212" s="1067"/>
      <c r="E212" s="1067"/>
      <c r="F212" s="1067"/>
      <c r="G212" s="1068"/>
      <c r="K212" s="420"/>
    </row>
    <row r="213" spans="1:11" ht="12.75" customHeight="1" x14ac:dyDescent="0.2">
      <c r="A213" s="336"/>
      <c r="B213" s="1066"/>
      <c r="C213" s="1067"/>
      <c r="D213" s="1067"/>
      <c r="E213" s="1067"/>
      <c r="F213" s="1067"/>
      <c r="G213" s="1068"/>
    </row>
    <row r="214" spans="1:11" ht="12.75" customHeight="1" x14ac:dyDescent="0.2">
      <c r="A214" s="336"/>
      <c r="B214" s="1066"/>
      <c r="C214" s="1067"/>
      <c r="D214" s="1067"/>
      <c r="E214" s="1067"/>
      <c r="F214" s="1067"/>
      <c r="G214" s="1068"/>
    </row>
    <row r="215" spans="1:11" ht="12.75" customHeight="1" x14ac:dyDescent="0.2">
      <c r="A215" s="336"/>
      <c r="B215" s="1069"/>
      <c r="C215" s="1070"/>
      <c r="D215" s="1070"/>
      <c r="E215" s="1070"/>
      <c r="F215" s="1070"/>
      <c r="G215" s="1071"/>
    </row>
    <row r="216" spans="1:11" ht="38.25" customHeight="1" x14ac:dyDescent="0.25">
      <c r="B216" s="1059" t="s">
        <v>261</v>
      </c>
      <c r="C216" s="1059"/>
      <c r="D216" s="1059"/>
      <c r="E216" s="1059"/>
      <c r="F216" s="1059"/>
      <c r="G216" s="1059"/>
    </row>
    <row r="217" spans="1:11" ht="51" customHeight="1" x14ac:dyDescent="0.2">
      <c r="C217" s="477"/>
    </row>
    <row r="218" spans="1:11" ht="38.25" customHeight="1" x14ac:dyDescent="0.25">
      <c r="B218" s="1057" t="s">
        <v>335</v>
      </c>
      <c r="C218" s="1058"/>
      <c r="D218" s="1058"/>
      <c r="E218" s="1058"/>
      <c r="F218" s="1058"/>
      <c r="G218" s="1058"/>
    </row>
    <row r="219" spans="1:11" ht="51.75" customHeight="1" x14ac:dyDescent="0.2">
      <c r="C219" s="477"/>
    </row>
    <row r="220" spans="1:11" ht="18" customHeight="1" x14ac:dyDescent="0.2">
      <c r="C220" s="477"/>
    </row>
    <row r="221" spans="1:11" ht="33.75" customHeight="1" x14ac:dyDescent="0.25">
      <c r="B221" s="1055" t="s">
        <v>548</v>
      </c>
      <c r="C221" s="1055"/>
      <c r="D221" s="1055"/>
      <c r="E221" s="1055"/>
      <c r="F221" s="1055"/>
      <c r="G221" s="1055"/>
    </row>
    <row r="222" spans="1:11" s="741" customFormat="1" x14ac:dyDescent="0.2">
      <c r="A222" s="1029"/>
      <c r="B222" s="814" t="s">
        <v>8</v>
      </c>
      <c r="C222" s="814">
        <f>IF(('t1'!$K$18+'t1'!$L$18)&gt;0,1,0)</f>
        <v>1</v>
      </c>
      <c r="D222" s="815"/>
      <c r="E222" s="814" t="s">
        <v>9</v>
      </c>
      <c r="F222" s="814">
        <f>IF(COUNTIF('Squadratura 1'!J6:J17,"ERRORE")=0, 0,1)</f>
        <v>0</v>
      </c>
      <c r="G222" s="815"/>
    </row>
    <row r="223" spans="1:11" x14ac:dyDescent="0.2">
      <c r="A223" s="1029"/>
      <c r="B223" s="814" t="s">
        <v>667</v>
      </c>
      <c r="C223" s="814">
        <f>IF(('1E'!$S$19+'1E'!$T$19)&gt;0,1,0)</f>
        <v>1</v>
      </c>
      <c r="D223" s="815"/>
      <c r="E223" s="814" t="s">
        <v>11</v>
      </c>
      <c r="F223" s="814">
        <f>IF(OR('Squadratura 2'!G19="ERRORE",'Squadratura 2'!L19="ERRORE"),1,0)</f>
        <v>0</v>
      </c>
      <c r="G223" s="815"/>
    </row>
    <row r="224" spans="1:11" s="741" customFormat="1" x14ac:dyDescent="0.2">
      <c r="A224" s="1029"/>
      <c r="B224" s="814" t="s">
        <v>10</v>
      </c>
      <c r="C224" s="814">
        <f>IF(SUM('t2'!C9:J9,'t2'!C22:L22)&gt;0,1,0)</f>
        <v>1</v>
      </c>
      <c r="D224" s="815"/>
      <c r="E224" s="814" t="s">
        <v>13</v>
      </c>
      <c r="F224" s="814">
        <f>IF(OR('Squadratura 3'!L20="ERRORE",'Squadratura 3'!V20="ERRORE"),1,0)</f>
        <v>0</v>
      </c>
      <c r="G224" s="815"/>
    </row>
    <row r="225" spans="1:11" s="741" customFormat="1" x14ac:dyDescent="0.2">
      <c r="A225" s="1029"/>
      <c r="B225" s="814" t="s">
        <v>270</v>
      </c>
      <c r="C225" s="814">
        <f>IF(t2A!$T$15&gt;0,1,0)</f>
        <v>1</v>
      </c>
      <c r="D225" s="815"/>
      <c r="E225" s="814" t="s">
        <v>15</v>
      </c>
      <c r="F225" s="814">
        <f>IF(COUNTIF('Squadratura 4'!I6:I17,"ERRORE")=0,0,1)</f>
        <v>0</v>
      </c>
      <c r="G225" s="815"/>
    </row>
    <row r="226" spans="1:11" s="741" customFormat="1" x14ac:dyDescent="0.2">
      <c r="A226" s="1029"/>
      <c r="B226" s="814" t="s">
        <v>12</v>
      </c>
      <c r="C226" s="814">
        <f>IF(SUM('t3'!C18:P18)&gt;0,1,0)</f>
        <v>1</v>
      </c>
      <c r="D226" s="815"/>
      <c r="E226" s="814" t="s">
        <v>686</v>
      </c>
      <c r="F226" s="814">
        <f>IF('t15(1)'!H22="OK",0,1)</f>
        <v>0</v>
      </c>
      <c r="G226" s="815"/>
      <c r="K226" s="816"/>
    </row>
    <row r="227" spans="1:11" s="741" customFormat="1" x14ac:dyDescent="0.2">
      <c r="A227" s="1029"/>
      <c r="B227" s="814" t="s">
        <v>14</v>
      </c>
      <c r="C227" s="814">
        <f>IF(('t4'!$O$27)&gt;0,1,0)</f>
        <v>1</v>
      </c>
      <c r="D227" s="815"/>
      <c r="E227" s="814" t="s">
        <v>19</v>
      </c>
      <c r="F227" s="814">
        <f>IF(COUNTIF('Incongruenze 1 e 11'!D5:D7,"OK")=3,0,1)</f>
        <v>0</v>
      </c>
      <c r="G227" s="814"/>
      <c r="K227" s="816"/>
    </row>
    <row r="228" spans="1:11" s="741" customFormat="1" x14ac:dyDescent="0.2">
      <c r="A228" s="1029"/>
      <c r="B228" s="814" t="s">
        <v>16</v>
      </c>
      <c r="C228" s="814">
        <f>IF(('t5'!$U$19+'t5'!$V$19)&gt;0,1,0)</f>
        <v>1</v>
      </c>
      <c r="D228" s="815"/>
      <c r="E228" s="814" t="s">
        <v>21</v>
      </c>
      <c r="F228" s="814">
        <f>IF(COUNTIF('Incongruenza 2'!I6:I17,"ERRORE")=0,0,1)</f>
        <v>0</v>
      </c>
      <c r="G228" s="815"/>
      <c r="K228" s="816"/>
    </row>
    <row r="229" spans="1:11" s="741" customFormat="1" x14ac:dyDescent="0.2">
      <c r="A229" s="1029"/>
      <c r="B229" s="814" t="s">
        <v>17</v>
      </c>
      <c r="C229" s="814">
        <f>IF(('t6'!$U$19+'t6'!$V$19)&gt;0,1,0)</f>
        <v>1</v>
      </c>
      <c r="D229" s="815"/>
      <c r="E229" s="814" t="s">
        <v>23</v>
      </c>
      <c r="F229" s="814">
        <f>IF(OR(AND('Incongruenza 4 e controlli t14'!F21=" ",'Incongruenza 4 e controlli t14'!F23=" "),AND('Incongruenza 4 e controlli t14'!F21="OK",'Incongruenza 4 e controlli t14'!F23="OK"),AND('Incongruenza 4 e controlli t14'!F23="E' stata dichiarata IRAP Commerciale")),0,1)</f>
        <v>0</v>
      </c>
      <c r="G229" s="815"/>
      <c r="K229" s="816"/>
    </row>
    <row r="230" spans="1:11" s="741" customFormat="1" x14ac:dyDescent="0.2">
      <c r="A230" s="1029"/>
      <c r="B230" s="814" t="s">
        <v>18</v>
      </c>
      <c r="C230" s="814">
        <f>IF(('t7'!$W$18+'t7'!$X$18)&gt;0,1,0)</f>
        <v>1</v>
      </c>
      <c r="D230" s="815"/>
      <c r="E230" s="814" t="s">
        <v>24</v>
      </c>
      <c r="F230" s="814">
        <f>IF(COUNTIF('Incongruenza 5'!G6:G17,"ERRORE")=0,0,1)</f>
        <v>0</v>
      </c>
      <c r="G230" s="815"/>
      <c r="K230" s="816"/>
    </row>
    <row r="231" spans="1:11" s="741" customFormat="1" x14ac:dyDescent="0.2">
      <c r="A231" s="1029"/>
      <c r="B231" s="814" t="s">
        <v>20</v>
      </c>
      <c r="C231" s="814">
        <f>IF(('t8'!$AA$18+'t8'!$AB$18)&gt;0,1,0)</f>
        <v>1</v>
      </c>
      <c r="D231" s="815"/>
      <c r="E231" s="814" t="s">
        <v>26</v>
      </c>
      <c r="F231" s="814">
        <f>IF(COUNTIF('Incongruenza 6'!E6:E17,"ERRORE")=0,0,1)</f>
        <v>0</v>
      </c>
      <c r="G231" s="815"/>
      <c r="K231" s="816"/>
    </row>
    <row r="232" spans="1:11" s="741" customFormat="1" x14ac:dyDescent="0.2">
      <c r="A232" s="1029"/>
      <c r="B232" s="814" t="s">
        <v>22</v>
      </c>
      <c r="C232" s="814">
        <f>IF(('t9'!$O$18+'t9'!$P$18)&gt;0,1,0)</f>
        <v>1</v>
      </c>
      <c r="D232" s="815"/>
      <c r="E232" s="814" t="s">
        <v>28</v>
      </c>
      <c r="F232" s="814">
        <f>IF(COUNTIF('Incongruenza 7'!I6:I17,"ERRORE")=0,0,1)</f>
        <v>0</v>
      </c>
      <c r="G232" s="815"/>
      <c r="K232" s="816"/>
    </row>
    <row r="233" spans="1:11" s="741" customFormat="1" x14ac:dyDescent="0.2">
      <c r="A233" s="1029"/>
      <c r="B233" s="814" t="s">
        <v>25</v>
      </c>
      <c r="C233" s="814">
        <f>IF(('t11'!$W$20+'t11'!$X$20)&gt;0,1,0)</f>
        <v>1</v>
      </c>
      <c r="D233" s="815"/>
      <c r="E233" s="814" t="s">
        <v>354</v>
      </c>
      <c r="F233" s="814">
        <f>IF(COUNTIF('Incongruenza 8'!J6:J17,"ERRORE")=0,0,1)</f>
        <v>1</v>
      </c>
      <c r="G233" s="815"/>
      <c r="K233" s="816"/>
    </row>
    <row r="234" spans="1:11" s="741" customFormat="1" x14ac:dyDescent="0.2">
      <c r="A234" s="1029"/>
      <c r="B234" s="814" t="s">
        <v>27</v>
      </c>
      <c r="C234" s="814">
        <f>IF(('t12'!$J$18+'t12'!$C$18)&gt;0,1,0)</f>
        <v>1</v>
      </c>
      <c r="D234" s="815"/>
      <c r="E234" s="814" t="s">
        <v>574</v>
      </c>
      <c r="F234" s="814">
        <f>IF('t15(1)'!H14&lt;&gt;"OK",1,0)</f>
        <v>0</v>
      </c>
      <c r="G234" s="815"/>
    </row>
    <row r="235" spans="1:11" s="741" customFormat="1" x14ac:dyDescent="0.2">
      <c r="A235" s="1029"/>
      <c r="B235" s="814" t="s">
        <v>29</v>
      </c>
      <c r="C235" s="814">
        <f>IF(('t13'!$U$18)&gt;0,1,0)</f>
        <v>1</v>
      </c>
      <c r="D235" s="815"/>
      <c r="E235" s="814" t="s">
        <v>513</v>
      </c>
      <c r="F235" s="814">
        <f>IF(COUNTIF('Incongruenza 10'!K9:L9,"OK")=2,0,1)</f>
        <v>0</v>
      </c>
      <c r="G235" s="815"/>
    </row>
    <row r="236" spans="1:11" s="741" customFormat="1" x14ac:dyDescent="0.2">
      <c r="A236" s="1029"/>
      <c r="B236" s="814" t="s">
        <v>30</v>
      </c>
      <c r="C236" s="814">
        <f>IF(('Incongruenza 4 e controlli t14'!$C$31)&gt;0,1,0)</f>
        <v>1</v>
      </c>
      <c r="D236" s="815"/>
      <c r="E236" s="814" t="s">
        <v>544</v>
      </c>
      <c r="F236" s="814">
        <f>IF(COUNTIF('Incongruenze 1 e 11'!D13:D20,"OK")=6,0,1)</f>
        <v>0</v>
      </c>
      <c r="G236" s="815"/>
    </row>
    <row r="237" spans="1:11" s="741" customFormat="1" x14ac:dyDescent="0.2">
      <c r="A237" s="1029"/>
      <c r="B237" s="814" t="s">
        <v>31</v>
      </c>
      <c r="C237" s="814">
        <f>IF(('t15(1)'!$C$36+'t15(1)'!$G$36)&gt;0,1,0)</f>
        <v>1</v>
      </c>
      <c r="D237" s="815"/>
      <c r="E237" s="814" t="s">
        <v>545</v>
      </c>
      <c r="F237" s="814">
        <f>IF(COUNTIF('Incongruenze 12 e 13'!D13:D14,"OK")=2,0,1)</f>
        <v>0</v>
      </c>
      <c r="G237" s="815"/>
    </row>
    <row r="238" spans="1:11" s="741" customFormat="1" x14ac:dyDescent="0.2">
      <c r="A238" s="1029"/>
      <c r="B238" s="814" t="s">
        <v>623</v>
      </c>
      <c r="C238" s="814">
        <f>IF(('SICI(1)'!$N$8)&gt;0,1,0)</f>
        <v>0</v>
      </c>
      <c r="D238" s="815"/>
      <c r="E238" s="814" t="s">
        <v>546</v>
      </c>
      <c r="F238" s="814">
        <f>IF(COUNTIF('Incongruenze 12 e 13'!D20,"OK")=1,0,1)</f>
        <v>0</v>
      </c>
      <c r="G238" s="815"/>
    </row>
    <row r="239" spans="1:11" s="741" customFormat="1" x14ac:dyDescent="0.2">
      <c r="A239" s="1029"/>
      <c r="B239" s="814" t="s">
        <v>475</v>
      </c>
      <c r="C239" s="814">
        <f>IF(('Tabella Riconciliazione'!$F$32)&gt;0,1,0)</f>
        <v>1</v>
      </c>
      <c r="D239" s="815"/>
      <c r="E239" s="814" t="s">
        <v>547</v>
      </c>
      <c r="F239" s="814">
        <f>IF(COUNTIF('Incongruenza 14'!G6:G17,"ERRORE")=0,0,1)</f>
        <v>0</v>
      </c>
      <c r="G239" s="815"/>
    </row>
    <row r="240" spans="1:11" s="741" customFormat="1" x14ac:dyDescent="0.2">
      <c r="A240" s="1029"/>
      <c r="B240" s="815"/>
      <c r="C240" s="815"/>
      <c r="D240" s="815"/>
      <c r="E240" s="814" t="s">
        <v>596</v>
      </c>
      <c r="F240" s="814">
        <f>IF(('t12'!$AK$5)&gt;0,1,0)</f>
        <v>1</v>
      </c>
      <c r="G240" s="815"/>
    </row>
    <row r="241" spans="1:7" s="741" customFormat="1" x14ac:dyDescent="0.2">
      <c r="A241" s="1029"/>
      <c r="B241" s="1030"/>
      <c r="C241" s="1030"/>
      <c r="D241" s="1030"/>
      <c r="E241" s="1030"/>
      <c r="F241" s="1030"/>
      <c r="G241" s="1030"/>
    </row>
    <row r="242" spans="1:7" s="741" customFormat="1" x14ac:dyDescent="0.2">
      <c r="A242" s="1029"/>
      <c r="B242" s="1030"/>
      <c r="C242" s="1030"/>
      <c r="D242" s="1030"/>
      <c r="E242" s="1030"/>
      <c r="F242" s="1030"/>
      <c r="G242" s="1030"/>
    </row>
    <row r="243" spans="1:7" s="741" customFormat="1" x14ac:dyDescent="0.2">
      <c r="A243" s="1029"/>
      <c r="B243" s="1030"/>
      <c r="C243" s="1030"/>
      <c r="D243" s="1030"/>
      <c r="E243" s="1030"/>
      <c r="F243" s="1030"/>
      <c r="G243" s="1030"/>
    </row>
    <row r="244" spans="1:7" x14ac:dyDescent="0.2">
      <c r="A244" s="1029"/>
      <c r="B244" s="1030"/>
      <c r="C244" s="1030"/>
      <c r="D244" s="1030"/>
      <c r="E244" s="1030"/>
      <c r="F244" s="1030"/>
      <c r="G244" s="1030"/>
    </row>
    <row r="245" spans="1:7" x14ac:dyDescent="0.2">
      <c r="A245" s="1029"/>
      <c r="B245" s="1030"/>
      <c r="C245" s="1030"/>
      <c r="D245" s="1030"/>
      <c r="E245" s="815"/>
      <c r="F245" s="815"/>
      <c r="G245" s="1030"/>
    </row>
    <row r="246" spans="1:7" x14ac:dyDescent="0.2">
      <c r="A246" s="1029"/>
      <c r="B246" s="1030"/>
      <c r="C246" s="1030"/>
      <c r="D246" s="1030"/>
      <c r="E246" s="815"/>
      <c r="F246" s="815"/>
      <c r="G246" s="1030"/>
    </row>
    <row r="247" spans="1:7" x14ac:dyDescent="0.2">
      <c r="A247" s="1029"/>
      <c r="B247" s="1030"/>
      <c r="C247" s="1030"/>
      <c r="D247" s="1030"/>
      <c r="E247" s="815"/>
      <c r="F247" s="815"/>
      <c r="G247" s="1030"/>
    </row>
    <row r="248" spans="1:7" x14ac:dyDescent="0.2">
      <c r="A248" s="741"/>
      <c r="B248" s="815"/>
      <c r="C248" s="815"/>
      <c r="D248" s="815"/>
      <c r="E248" s="815"/>
      <c r="F248" s="815"/>
      <c r="G248" s="815"/>
    </row>
    <row r="249" spans="1:7" x14ac:dyDescent="0.2">
      <c r="A249" s="741"/>
      <c r="B249" s="815"/>
      <c r="C249" s="815"/>
      <c r="D249" s="815"/>
      <c r="E249" s="815"/>
      <c r="F249" s="815"/>
      <c r="G249" s="815"/>
    </row>
    <row r="250" spans="1:7" x14ac:dyDescent="0.2">
      <c r="A250" s="741"/>
      <c r="B250" s="815"/>
      <c r="C250" s="815"/>
      <c r="D250" s="815"/>
      <c r="E250" s="815"/>
      <c r="F250" s="815"/>
      <c r="G250" s="815"/>
    </row>
    <row r="251" spans="1:7" x14ac:dyDescent="0.2">
      <c r="A251" s="741"/>
      <c r="B251" s="815"/>
      <c r="C251" s="815"/>
      <c r="D251" s="815"/>
      <c r="E251" s="815"/>
      <c r="F251" s="815"/>
      <c r="G251" s="815"/>
    </row>
    <row r="252" spans="1:7" x14ac:dyDescent="0.2">
      <c r="A252" s="741"/>
      <c r="B252" s="815"/>
      <c r="C252" s="815"/>
      <c r="D252" s="815"/>
      <c r="E252" s="815"/>
      <c r="F252" s="815"/>
      <c r="G252" s="815"/>
    </row>
    <row r="253" spans="1:7" x14ac:dyDescent="0.2">
      <c r="A253" s="741"/>
      <c r="B253" s="815"/>
      <c r="C253" s="815"/>
      <c r="D253" s="815"/>
      <c r="E253" s="604"/>
      <c r="F253" s="604"/>
      <c r="G253" s="815"/>
    </row>
    <row r="254" spans="1:7" x14ac:dyDescent="0.2">
      <c r="A254" s="741"/>
      <c r="B254" s="815"/>
      <c r="C254" s="815"/>
      <c r="D254" s="815"/>
      <c r="G254" s="815"/>
    </row>
    <row r="255" spans="1:7" x14ac:dyDescent="0.2">
      <c r="A255" s="741"/>
      <c r="D255" s="815"/>
      <c r="G255" s="815"/>
    </row>
    <row r="256" spans="1:7" x14ac:dyDescent="0.2">
      <c r="D256" s="604"/>
      <c r="G256" s="604"/>
    </row>
  </sheetData>
  <sheetProtection algorithmName="SHA-512" hashValue="2gg1vIw3+t+scNEL2XzvkDp2oWGIl9s533UGrFiX5xNu0MfCnAPc0ZkUSVkE7ix6JVmEywtQ/CeD1DXaXIaRvw==" saltValue="4O7ppxaU0OcQ0BHBv0f0rQ==" spinCount="100000" sheet="1" formatColumns="0" selectLockedCells="1"/>
  <mergeCells count="90">
    <mergeCell ref="B208:F208"/>
    <mergeCell ref="B190:F190"/>
    <mergeCell ref="B193:F193"/>
    <mergeCell ref="B196:F196"/>
    <mergeCell ref="B199:F199"/>
    <mergeCell ref="B202:F202"/>
    <mergeCell ref="B205:F205"/>
    <mergeCell ref="B187:F187"/>
    <mergeCell ref="B154:F154"/>
    <mergeCell ref="B157:F157"/>
    <mergeCell ref="B160:F160"/>
    <mergeCell ref="B163:F163"/>
    <mergeCell ref="B166:F166"/>
    <mergeCell ref="B169:F169"/>
    <mergeCell ref="B172:F172"/>
    <mergeCell ref="B175:F175"/>
    <mergeCell ref="B178:F178"/>
    <mergeCell ref="B181:F181"/>
    <mergeCell ref="B184:F184"/>
    <mergeCell ref="B145:F145"/>
    <mergeCell ref="B148:F148"/>
    <mergeCell ref="B151:F151"/>
    <mergeCell ref="B36:G36"/>
    <mergeCell ref="B39:C39"/>
    <mergeCell ref="B100:F100"/>
    <mergeCell ref="B121:F121"/>
    <mergeCell ref="B103:F103"/>
    <mergeCell ref="B106:F106"/>
    <mergeCell ref="B109:F109"/>
    <mergeCell ref="B112:F112"/>
    <mergeCell ref="B115:F115"/>
    <mergeCell ref="B118:F118"/>
    <mergeCell ref="B127:F127"/>
    <mergeCell ref="B130:F130"/>
    <mergeCell ref="B133:F133"/>
    <mergeCell ref="B34:C34"/>
    <mergeCell ref="B44:E44"/>
    <mergeCell ref="B62:F62"/>
    <mergeCell ref="B82:F82"/>
    <mergeCell ref="B142:F142"/>
    <mergeCell ref="B136:F136"/>
    <mergeCell ref="B139:F139"/>
    <mergeCell ref="F26:G26"/>
    <mergeCell ref="D26:E26"/>
    <mergeCell ref="F25:G25"/>
    <mergeCell ref="D25:E25"/>
    <mergeCell ref="B33:C33"/>
    <mergeCell ref="D23:E23"/>
    <mergeCell ref="F24:G24"/>
    <mergeCell ref="B25:C25"/>
    <mergeCell ref="B24:C24"/>
    <mergeCell ref="D24:E24"/>
    <mergeCell ref="B221:G221"/>
    <mergeCell ref="B48:E48"/>
    <mergeCell ref="B41:G41"/>
    <mergeCell ref="B46:E46"/>
    <mergeCell ref="B50:E50"/>
    <mergeCell ref="B218:G218"/>
    <mergeCell ref="B216:G216"/>
    <mergeCell ref="B210:G210"/>
    <mergeCell ref="B211:G215"/>
    <mergeCell ref="B124:F124"/>
    <mergeCell ref="B59:F59"/>
    <mergeCell ref="B85:F85"/>
    <mergeCell ref="B88:F88"/>
    <mergeCell ref="B91:F91"/>
    <mergeCell ref="B94:F94"/>
    <mergeCell ref="B97:F97"/>
    <mergeCell ref="C2:F2"/>
    <mergeCell ref="E8:G8"/>
    <mergeCell ref="E9:G9"/>
    <mergeCell ref="E10:G10"/>
    <mergeCell ref="C3:F3"/>
    <mergeCell ref="B6:G6"/>
    <mergeCell ref="E11:G11"/>
    <mergeCell ref="E12:G12"/>
    <mergeCell ref="F23:G23"/>
    <mergeCell ref="B53:F53"/>
    <mergeCell ref="B56:F56"/>
    <mergeCell ref="D15:G15"/>
    <mergeCell ref="B19:C19"/>
    <mergeCell ref="B23:C23"/>
    <mergeCell ref="B16:G16"/>
    <mergeCell ref="B26:C26"/>
    <mergeCell ref="B30:G30"/>
    <mergeCell ref="F19:G19"/>
    <mergeCell ref="B22:C22"/>
    <mergeCell ref="D22:E22"/>
    <mergeCell ref="D19:E19"/>
    <mergeCell ref="F22:G22"/>
  </mergeCells>
  <phoneticPr fontId="0" type="noConversion"/>
  <dataValidations count="1">
    <dataValidation type="whole" allowBlank="1" showInputMessage="1" showErrorMessage="1" errorTitle="ATTENZIONE" error="INSERIRE SOLO VALORI NUMERICI INTERI" sqref="G91 G88 G121 G118 G94 G100 G59 G62 G97 G82 G154 G53 G56 G103 G106 G109 G112 G115 G124 G136 G133 G127 G130 G139 G142 G166 G151 G145 G148 G85 G157 G160 G163 G169 G208 G205 G178 G181 G184 G187 G190 G202 G172 G175 G193 G196 G199" xr:uid="{00000000-0002-0000-0000-000000000000}">
      <formula1>0</formula1>
      <formula2>999999999999</formula2>
    </dataValidation>
  </dataValidations>
  <printOptions horizontalCentered="1"/>
  <pageMargins left="0.4" right="0.39" top="0.38" bottom="0.23" header="0.15748031496062992" footer="0.15748031496062992"/>
  <pageSetup paperSize="9" scale="66" fitToHeight="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4"/>
  <dimension ref="A1:Y20"/>
  <sheetViews>
    <sheetView showGridLines="0" workbookViewId="0">
      <pane xSplit="2" ySplit="5" topLeftCell="C6" activePane="bottomRight" state="frozen"/>
      <selection activeCell="E11" sqref="E11"/>
      <selection pane="topRight" activeCell="E11" sqref="E11"/>
      <selection pane="bottomLeft" activeCell="E11" sqref="E11"/>
      <selection pane="bottomRight" activeCell="E11" sqref="E11"/>
    </sheetView>
  </sheetViews>
  <sheetFormatPr defaultColWidth="10.7109375" defaultRowHeight="10.199999999999999" x14ac:dyDescent="0.2"/>
  <cols>
    <col min="1" max="1" width="57.7109375" style="48" customWidth="1"/>
    <col min="2" max="2" width="10.42578125" style="50" customWidth="1"/>
    <col min="3" max="22" width="8.28515625" style="48" customWidth="1"/>
    <col min="23" max="23" width="10" style="48" customWidth="1"/>
    <col min="24" max="24" width="10.7109375" style="48"/>
    <col min="25" max="25" width="0" style="48" hidden="1" customWidth="1"/>
    <col min="26" max="16384" width="10.7109375" style="48"/>
  </cols>
  <sheetData>
    <row r="1" spans="1:25" s="3" customFormat="1" ht="43.5" customHeight="1" x14ac:dyDescent="0.2">
      <c r="A1" s="1097" t="str">
        <f>'t1'!A1</f>
        <v>AFAM - anno 2023</v>
      </c>
      <c r="B1" s="1097"/>
      <c r="C1" s="1097"/>
      <c r="D1" s="1097"/>
      <c r="E1" s="1097"/>
      <c r="F1" s="1097"/>
      <c r="G1" s="1097"/>
      <c r="H1" s="1097"/>
      <c r="I1" s="1097"/>
      <c r="J1" s="1097"/>
      <c r="K1" s="1097"/>
      <c r="L1" s="1097"/>
      <c r="M1" s="1097"/>
      <c r="N1" s="1097"/>
      <c r="O1" s="1097"/>
      <c r="P1" s="1097"/>
      <c r="Q1" s="1097"/>
      <c r="R1" s="1097"/>
      <c r="S1" s="1097"/>
      <c r="T1" s="1097"/>
      <c r="U1" s="1097"/>
      <c r="V1" s="1097"/>
      <c r="X1" s="268"/>
    </row>
    <row r="2" spans="1:25" ht="30" customHeight="1" thickBot="1" x14ac:dyDescent="0.25">
      <c r="A2" s="49"/>
      <c r="P2" s="1129"/>
      <c r="Q2" s="1129"/>
      <c r="R2" s="1129"/>
      <c r="S2" s="1129"/>
      <c r="T2" s="1129"/>
      <c r="U2" s="1129"/>
      <c r="V2" s="1129"/>
      <c r="W2" s="1129"/>
      <c r="X2" s="1129"/>
    </row>
    <row r="3" spans="1:25" ht="16.5" customHeight="1" thickBot="1" x14ac:dyDescent="0.25">
      <c r="A3" s="51"/>
      <c r="B3" s="52"/>
      <c r="C3" s="53" t="s">
        <v>212</v>
      </c>
      <c r="D3" s="54"/>
      <c r="E3" s="54"/>
      <c r="F3" s="54"/>
      <c r="G3" s="54"/>
      <c r="H3" s="54"/>
      <c r="I3" s="54"/>
      <c r="J3" s="54"/>
      <c r="K3" s="54"/>
      <c r="L3" s="54"/>
      <c r="M3" s="54"/>
      <c r="N3" s="54"/>
      <c r="O3" s="54"/>
      <c r="P3" s="54"/>
      <c r="Q3" s="54"/>
      <c r="R3" s="54"/>
      <c r="S3" s="54"/>
      <c r="T3" s="55"/>
      <c r="U3" s="54"/>
      <c r="V3" s="55"/>
      <c r="W3" s="54"/>
      <c r="X3" s="55"/>
    </row>
    <row r="4" spans="1:25" ht="16.5" customHeight="1" thickTop="1" x14ac:dyDescent="0.2">
      <c r="A4" s="235" t="s">
        <v>115</v>
      </c>
      <c r="B4" s="56" t="s">
        <v>52</v>
      </c>
      <c r="C4" s="1160" t="s">
        <v>72</v>
      </c>
      <c r="D4" s="1161"/>
      <c r="E4" s="1160" t="s">
        <v>73</v>
      </c>
      <c r="F4" s="1161"/>
      <c r="G4" s="1160" t="s">
        <v>74</v>
      </c>
      <c r="H4" s="1161"/>
      <c r="I4" s="1160" t="s">
        <v>75</v>
      </c>
      <c r="J4" s="1161"/>
      <c r="K4" s="1160" t="s">
        <v>76</v>
      </c>
      <c r="L4" s="1161"/>
      <c r="M4" s="1160" t="s">
        <v>77</v>
      </c>
      <c r="N4" s="1161"/>
      <c r="O4" s="1160" t="s">
        <v>78</v>
      </c>
      <c r="P4" s="1161"/>
      <c r="Q4" s="1160" t="s">
        <v>79</v>
      </c>
      <c r="R4" s="1161"/>
      <c r="S4" s="1160" t="s">
        <v>338</v>
      </c>
      <c r="T4" s="1161"/>
      <c r="U4" s="1160" t="s">
        <v>339</v>
      </c>
      <c r="V4" s="1161"/>
      <c r="W4" s="57" t="s">
        <v>55</v>
      </c>
      <c r="X4" s="110"/>
    </row>
    <row r="5" spans="1:25" ht="10.8" thickBot="1" x14ac:dyDescent="0.25">
      <c r="A5" s="690" t="s">
        <v>518</v>
      </c>
      <c r="B5" s="58"/>
      <c r="C5" s="59" t="s">
        <v>70</v>
      </c>
      <c r="D5" s="60" t="s">
        <v>71</v>
      </c>
      <c r="E5" s="59" t="s">
        <v>70</v>
      </c>
      <c r="F5" s="60" t="s">
        <v>71</v>
      </c>
      <c r="G5" s="59" t="s">
        <v>70</v>
      </c>
      <c r="H5" s="60" t="s">
        <v>71</v>
      </c>
      <c r="I5" s="59" t="s">
        <v>70</v>
      </c>
      <c r="J5" s="60" t="s">
        <v>71</v>
      </c>
      <c r="K5" s="59" t="s">
        <v>70</v>
      </c>
      <c r="L5" s="60" t="s">
        <v>71</v>
      </c>
      <c r="M5" s="59" t="s">
        <v>70</v>
      </c>
      <c r="N5" s="60" t="s">
        <v>71</v>
      </c>
      <c r="O5" s="59" t="s">
        <v>70</v>
      </c>
      <c r="P5" s="60" t="s">
        <v>71</v>
      </c>
      <c r="Q5" s="59" t="s">
        <v>70</v>
      </c>
      <c r="R5" s="60" t="s">
        <v>71</v>
      </c>
      <c r="S5" s="59" t="s">
        <v>70</v>
      </c>
      <c r="T5" s="61" t="s">
        <v>71</v>
      </c>
      <c r="U5" s="59" t="s">
        <v>70</v>
      </c>
      <c r="V5" s="61" t="s">
        <v>71</v>
      </c>
      <c r="W5" s="59" t="s">
        <v>70</v>
      </c>
      <c r="X5" s="61" t="s">
        <v>71</v>
      </c>
    </row>
    <row r="6" spans="1:25" ht="12.75" customHeight="1" thickTop="1" x14ac:dyDescent="0.2">
      <c r="A6" s="16" t="str">
        <f>'t1'!A6</f>
        <v>PROFESSORI DI PRIMA FASCIA</v>
      </c>
      <c r="B6" s="197" t="str">
        <f>'t1'!B6</f>
        <v>018P01</v>
      </c>
      <c r="C6" s="201">
        <v>13</v>
      </c>
      <c r="D6" s="202">
        <v>5</v>
      </c>
      <c r="E6" s="201">
        <v>5</v>
      </c>
      <c r="F6" s="202">
        <v>4</v>
      </c>
      <c r="G6" s="201">
        <v>2</v>
      </c>
      <c r="H6" s="202">
        <v>0</v>
      </c>
      <c r="I6" s="201">
        <v>4</v>
      </c>
      <c r="J6" s="202">
        <v>3</v>
      </c>
      <c r="K6" s="201">
        <v>10</v>
      </c>
      <c r="L6" s="202">
        <v>3</v>
      </c>
      <c r="M6" s="203">
        <v>13</v>
      </c>
      <c r="N6" s="204">
        <v>1</v>
      </c>
      <c r="O6" s="201">
        <v>10</v>
      </c>
      <c r="P6" s="202">
        <v>1</v>
      </c>
      <c r="Q6" s="201">
        <v>10</v>
      </c>
      <c r="R6" s="202">
        <v>4</v>
      </c>
      <c r="S6" s="205">
        <v>1</v>
      </c>
      <c r="T6" s="206"/>
      <c r="U6" s="205"/>
      <c r="V6" s="206"/>
      <c r="W6" s="384">
        <f>SUM(C6,E6,G6,I6,K6,M6,O6,Q6,S6,U6)</f>
        <v>68</v>
      </c>
      <c r="X6" s="385">
        <f>SUM(D6,F6,H6,J6,L6,N6,P6,R6,T6,V6)</f>
        <v>21</v>
      </c>
      <c r="Y6" s="48">
        <f>'t1'!M6</f>
        <v>89</v>
      </c>
    </row>
    <row r="7" spans="1:25" ht="12.75" customHeight="1" x14ac:dyDescent="0.2">
      <c r="A7" s="126" t="str">
        <f>'t1'!A7</f>
        <v>DIRETTORE AMMINISTRATIVO EP2</v>
      </c>
      <c r="B7" s="190" t="str">
        <f>'t1'!B7</f>
        <v>013504</v>
      </c>
      <c r="C7" s="201"/>
      <c r="D7" s="202"/>
      <c r="E7" s="201"/>
      <c r="F7" s="202"/>
      <c r="G7" s="201"/>
      <c r="H7" s="202"/>
      <c r="I7" s="201"/>
      <c r="J7" s="202"/>
      <c r="K7" s="201"/>
      <c r="L7" s="202"/>
      <c r="M7" s="203"/>
      <c r="N7" s="204"/>
      <c r="O7" s="201"/>
      <c r="P7" s="202"/>
      <c r="Q7" s="201"/>
      <c r="R7" s="202"/>
      <c r="S7" s="205"/>
      <c r="T7" s="207"/>
      <c r="U7" s="205"/>
      <c r="V7" s="207"/>
      <c r="W7" s="384">
        <f t="shared" ref="W7:W17" si="0">SUM(C7,E7,G7,I7,K7,M7,O7,Q7,S7,U7)</f>
        <v>0</v>
      </c>
      <c r="X7" s="386">
        <f t="shared" ref="X7:X17" si="1">SUM(D7,F7,H7,J7,L7,N7,P7,R7,T7,V7)</f>
        <v>0</v>
      </c>
      <c r="Y7" s="48">
        <f>'t1'!M7</f>
        <v>0</v>
      </c>
    </row>
    <row r="8" spans="1:25" ht="12.75" customHeight="1" x14ac:dyDescent="0.2">
      <c r="A8" s="126" t="str">
        <f>'t1'!A8</f>
        <v>DIRETTORE DELL UFFICIO DI RAGIONERIA (EP1)</v>
      </c>
      <c r="B8" s="190" t="str">
        <f>'t1'!B8</f>
        <v>013159</v>
      </c>
      <c r="C8" s="201"/>
      <c r="D8" s="202"/>
      <c r="E8" s="201"/>
      <c r="F8" s="202"/>
      <c r="G8" s="201"/>
      <c r="H8" s="202"/>
      <c r="I8" s="201"/>
      <c r="J8" s="202"/>
      <c r="K8" s="201"/>
      <c r="L8" s="202"/>
      <c r="M8" s="203"/>
      <c r="N8" s="204"/>
      <c r="O8" s="201"/>
      <c r="P8" s="202"/>
      <c r="Q8" s="201"/>
      <c r="R8" s="202"/>
      <c r="S8" s="205"/>
      <c r="T8" s="207"/>
      <c r="U8" s="205"/>
      <c r="V8" s="207"/>
      <c r="W8" s="384">
        <f t="shared" si="0"/>
        <v>0</v>
      </c>
      <c r="X8" s="386">
        <f t="shared" si="1"/>
        <v>0</v>
      </c>
      <c r="Y8" s="48">
        <f>'t1'!M8</f>
        <v>0</v>
      </c>
    </row>
    <row r="9" spans="1:25" ht="12.75" customHeight="1" x14ac:dyDescent="0.2">
      <c r="A9" s="126" t="str">
        <f>'t1'!A9</f>
        <v>COLLABORATORE AREA III</v>
      </c>
      <c r="B9" s="190" t="str">
        <f>'t1'!B9</f>
        <v>013CTE</v>
      </c>
      <c r="C9" s="201"/>
      <c r="D9" s="202"/>
      <c r="E9" s="201"/>
      <c r="F9" s="202">
        <v>1</v>
      </c>
      <c r="G9" s="201"/>
      <c r="H9" s="202"/>
      <c r="I9" s="201"/>
      <c r="J9" s="202"/>
      <c r="K9" s="201"/>
      <c r="L9" s="202"/>
      <c r="M9" s="203"/>
      <c r="N9" s="204"/>
      <c r="O9" s="201"/>
      <c r="P9" s="202"/>
      <c r="Q9" s="201"/>
      <c r="R9" s="202"/>
      <c r="S9" s="205"/>
      <c r="T9" s="207"/>
      <c r="U9" s="205"/>
      <c r="V9" s="207"/>
      <c r="W9" s="384">
        <f t="shared" si="0"/>
        <v>0</v>
      </c>
      <c r="X9" s="386">
        <f t="shared" si="1"/>
        <v>1</v>
      </c>
      <c r="Y9" s="48">
        <f>'t1'!M9</f>
        <v>1</v>
      </c>
    </row>
    <row r="10" spans="1:25" ht="12.75" customHeight="1" x14ac:dyDescent="0.2">
      <c r="A10" s="126" t="str">
        <f>'t1'!A10</f>
        <v>ASSISTENTE AREA II</v>
      </c>
      <c r="B10" s="190" t="str">
        <f>'t1'!B10</f>
        <v>012117</v>
      </c>
      <c r="C10" s="201">
        <v>1</v>
      </c>
      <c r="D10" s="202">
        <v>3</v>
      </c>
      <c r="E10" s="201">
        <v>1</v>
      </c>
      <c r="F10" s="202">
        <v>0</v>
      </c>
      <c r="G10" s="201">
        <v>1</v>
      </c>
      <c r="H10" s="202">
        <v>4</v>
      </c>
      <c r="I10" s="201">
        <v>1</v>
      </c>
      <c r="J10" s="202">
        <v>1</v>
      </c>
      <c r="K10" s="201"/>
      <c r="L10" s="202">
        <v>1</v>
      </c>
      <c r="M10" s="203"/>
      <c r="N10" s="204"/>
      <c r="O10" s="201"/>
      <c r="P10" s="202"/>
      <c r="Q10" s="201"/>
      <c r="R10" s="202"/>
      <c r="S10" s="205"/>
      <c r="T10" s="207"/>
      <c r="U10" s="205"/>
      <c r="V10" s="207"/>
      <c r="W10" s="384">
        <f t="shared" si="0"/>
        <v>4</v>
      </c>
      <c r="X10" s="386">
        <f t="shared" si="1"/>
        <v>9</v>
      </c>
      <c r="Y10" s="48">
        <f>'t1'!M10</f>
        <v>13</v>
      </c>
    </row>
    <row r="11" spans="1:25" ht="12.75" customHeight="1" x14ac:dyDescent="0.2">
      <c r="A11" s="126" t="str">
        <f>'t1'!A11</f>
        <v>COADIUTORE AREA I</v>
      </c>
      <c r="B11" s="190" t="str">
        <f>'t1'!B11</f>
        <v>011121</v>
      </c>
      <c r="C11" s="201">
        <v>0</v>
      </c>
      <c r="D11" s="202">
        <v>4</v>
      </c>
      <c r="E11" s="201">
        <v>0</v>
      </c>
      <c r="F11" s="202">
        <v>0</v>
      </c>
      <c r="G11" s="201">
        <v>0</v>
      </c>
      <c r="H11" s="202">
        <v>4</v>
      </c>
      <c r="I11" s="201">
        <v>1</v>
      </c>
      <c r="J11" s="202">
        <v>5</v>
      </c>
      <c r="K11" s="201"/>
      <c r="L11" s="202"/>
      <c r="M11" s="203"/>
      <c r="N11" s="204"/>
      <c r="O11" s="201"/>
      <c r="P11" s="202"/>
      <c r="Q11" s="201"/>
      <c r="R11" s="202"/>
      <c r="S11" s="205"/>
      <c r="T11" s="207"/>
      <c r="U11" s="205"/>
      <c r="V11" s="207"/>
      <c r="W11" s="384">
        <f t="shared" si="0"/>
        <v>1</v>
      </c>
      <c r="X11" s="386">
        <f t="shared" si="1"/>
        <v>13</v>
      </c>
      <c r="Y11" s="48">
        <f>'t1'!M11</f>
        <v>14</v>
      </c>
    </row>
    <row r="12" spans="1:25" ht="12.75" customHeight="1" x14ac:dyDescent="0.2">
      <c r="A12" s="126" t="str">
        <f>'t1'!A12</f>
        <v>PROFESSORI DI PRIMA FASCIA TEMPO DET.ANNUALE</v>
      </c>
      <c r="B12" s="190" t="str">
        <f>'t1'!B12</f>
        <v>018PD1</v>
      </c>
      <c r="C12" s="201">
        <v>10</v>
      </c>
      <c r="D12" s="202">
        <v>5</v>
      </c>
      <c r="E12" s="201">
        <v>4</v>
      </c>
      <c r="F12" s="202"/>
      <c r="G12" s="201"/>
      <c r="H12" s="202">
        <v>2</v>
      </c>
      <c r="I12" s="201"/>
      <c r="J12" s="202"/>
      <c r="K12" s="201"/>
      <c r="L12" s="202"/>
      <c r="M12" s="203"/>
      <c r="N12" s="204"/>
      <c r="O12" s="201"/>
      <c r="P12" s="202"/>
      <c r="Q12" s="201"/>
      <c r="R12" s="202"/>
      <c r="S12" s="205"/>
      <c r="T12" s="207"/>
      <c r="U12" s="205"/>
      <c r="V12" s="207"/>
      <c r="W12" s="384">
        <f t="shared" si="0"/>
        <v>14</v>
      </c>
      <c r="X12" s="386">
        <f t="shared" si="1"/>
        <v>7</v>
      </c>
      <c r="Y12" s="48">
        <f>'t1'!M12</f>
        <v>21</v>
      </c>
    </row>
    <row r="13" spans="1:25" ht="12.75" customHeight="1" x14ac:dyDescent="0.2">
      <c r="A13" s="126" t="str">
        <f>'t1'!A13</f>
        <v>DIRETTORE AMMINISTRATIVO TEMPO DET.ANNUALE (EP2)</v>
      </c>
      <c r="B13" s="190" t="str">
        <f>'t1'!B13</f>
        <v>013EP2</v>
      </c>
      <c r="C13" s="201">
        <v>1</v>
      </c>
      <c r="D13" s="202"/>
      <c r="E13" s="201"/>
      <c r="F13" s="202"/>
      <c r="G13" s="201"/>
      <c r="H13" s="202"/>
      <c r="I13" s="201"/>
      <c r="J13" s="202"/>
      <c r="K13" s="201"/>
      <c r="L13" s="202"/>
      <c r="M13" s="203"/>
      <c r="N13" s="204"/>
      <c r="O13" s="201"/>
      <c r="P13" s="202"/>
      <c r="Q13" s="201"/>
      <c r="R13" s="202"/>
      <c r="S13" s="205"/>
      <c r="T13" s="207"/>
      <c r="U13" s="205"/>
      <c r="V13" s="207"/>
      <c r="W13" s="384">
        <f t="shared" si="0"/>
        <v>1</v>
      </c>
      <c r="X13" s="386">
        <f t="shared" si="1"/>
        <v>0</v>
      </c>
      <c r="Y13" s="48">
        <f>'t1'!M13</f>
        <v>1</v>
      </c>
    </row>
    <row r="14" spans="1:25" ht="12.75" customHeight="1" x14ac:dyDescent="0.2">
      <c r="A14" s="126" t="str">
        <f>'t1'!A14</f>
        <v>DIRETTORE DELL UFFICIO DI RAGIONERIA TEMPO DET.ANNUALE (EP1)</v>
      </c>
      <c r="B14" s="190" t="str">
        <f>'t1'!B14</f>
        <v>013160</v>
      </c>
      <c r="C14" s="201"/>
      <c r="D14" s="202">
        <v>1</v>
      </c>
      <c r="E14" s="201"/>
      <c r="F14" s="202"/>
      <c r="G14" s="201"/>
      <c r="H14" s="202"/>
      <c r="I14" s="201"/>
      <c r="J14" s="202"/>
      <c r="K14" s="201"/>
      <c r="L14" s="202"/>
      <c r="M14" s="203"/>
      <c r="N14" s="204"/>
      <c r="O14" s="201"/>
      <c r="P14" s="202"/>
      <c r="Q14" s="201"/>
      <c r="R14" s="202"/>
      <c r="S14" s="205"/>
      <c r="T14" s="207"/>
      <c r="U14" s="205"/>
      <c r="V14" s="207"/>
      <c r="W14" s="384">
        <f t="shared" si="0"/>
        <v>0</v>
      </c>
      <c r="X14" s="386">
        <f t="shared" si="1"/>
        <v>1</v>
      </c>
      <c r="Y14" s="48">
        <f>'t1'!M14</f>
        <v>1</v>
      </c>
    </row>
    <row r="15" spans="1:25" ht="12.75" customHeight="1" x14ac:dyDescent="0.2">
      <c r="A15" s="126" t="str">
        <f>'t1'!A15</f>
        <v>COLLABORATORE AREA III TEMPO DET. ANNUALE</v>
      </c>
      <c r="B15" s="190" t="str">
        <f>'t1'!B15</f>
        <v>013CDE</v>
      </c>
      <c r="C15" s="201"/>
      <c r="D15" s="202"/>
      <c r="E15" s="201"/>
      <c r="F15" s="202"/>
      <c r="G15" s="201"/>
      <c r="H15" s="202"/>
      <c r="I15" s="201"/>
      <c r="J15" s="202"/>
      <c r="K15" s="201"/>
      <c r="L15" s="202"/>
      <c r="M15" s="203"/>
      <c r="N15" s="204"/>
      <c r="O15" s="201"/>
      <c r="P15" s="202"/>
      <c r="Q15" s="201"/>
      <c r="R15" s="202"/>
      <c r="S15" s="205"/>
      <c r="T15" s="207"/>
      <c r="U15" s="205"/>
      <c r="V15" s="207"/>
      <c r="W15" s="384">
        <f t="shared" si="0"/>
        <v>0</v>
      </c>
      <c r="X15" s="386">
        <f t="shared" si="1"/>
        <v>0</v>
      </c>
      <c r="Y15" s="48">
        <f>'t1'!M15</f>
        <v>0</v>
      </c>
    </row>
    <row r="16" spans="1:25" ht="12.75" customHeight="1" x14ac:dyDescent="0.2">
      <c r="A16" s="126" t="str">
        <f>'t1'!A16</f>
        <v>ASSISTENTE AREA II TEMPO DET. ANNUALE</v>
      </c>
      <c r="B16" s="190" t="str">
        <f>'t1'!B16</f>
        <v>012118</v>
      </c>
      <c r="C16" s="201"/>
      <c r="D16" s="202">
        <v>6</v>
      </c>
      <c r="E16" s="201"/>
      <c r="F16" s="202"/>
      <c r="G16" s="201"/>
      <c r="H16" s="202"/>
      <c r="I16" s="201"/>
      <c r="J16" s="202"/>
      <c r="K16" s="201"/>
      <c r="L16" s="202"/>
      <c r="M16" s="203"/>
      <c r="N16" s="204"/>
      <c r="O16" s="201"/>
      <c r="P16" s="202"/>
      <c r="Q16" s="201"/>
      <c r="R16" s="202"/>
      <c r="S16" s="205"/>
      <c r="T16" s="207"/>
      <c r="U16" s="205"/>
      <c r="V16" s="207"/>
      <c r="W16" s="384">
        <f t="shared" si="0"/>
        <v>0</v>
      </c>
      <c r="X16" s="386">
        <f t="shared" si="1"/>
        <v>6</v>
      </c>
      <c r="Y16" s="48">
        <f>'t1'!M16</f>
        <v>6</v>
      </c>
    </row>
    <row r="17" spans="1:25" ht="12.75" customHeight="1" thickBot="1" x14ac:dyDescent="0.25">
      <c r="A17" s="126" t="str">
        <f>'t1'!A17</f>
        <v>COADIUTORE AREA I TEMPO DET.ANNUALE</v>
      </c>
      <c r="B17" s="190" t="str">
        <f>'t1'!B17</f>
        <v>011124</v>
      </c>
      <c r="C17" s="201">
        <v>1</v>
      </c>
      <c r="D17" s="202">
        <v>4</v>
      </c>
      <c r="E17" s="201"/>
      <c r="F17" s="202"/>
      <c r="G17" s="201"/>
      <c r="H17" s="202"/>
      <c r="I17" s="201"/>
      <c r="J17" s="202"/>
      <c r="K17" s="201"/>
      <c r="L17" s="202"/>
      <c r="M17" s="203"/>
      <c r="N17" s="204"/>
      <c r="O17" s="201"/>
      <c r="P17" s="202"/>
      <c r="Q17" s="201"/>
      <c r="R17" s="202"/>
      <c r="S17" s="205"/>
      <c r="T17" s="207"/>
      <c r="U17" s="205"/>
      <c r="V17" s="207"/>
      <c r="W17" s="384">
        <f t="shared" si="0"/>
        <v>1</v>
      </c>
      <c r="X17" s="386">
        <f t="shared" si="1"/>
        <v>4</v>
      </c>
      <c r="Y17" s="48">
        <f>'t1'!M17</f>
        <v>5</v>
      </c>
    </row>
    <row r="18" spans="1:25" ht="17.25" customHeight="1" thickTop="1" thickBot="1" x14ac:dyDescent="0.25">
      <c r="A18" s="62" t="s">
        <v>55</v>
      </c>
      <c r="B18" s="63"/>
      <c r="C18" s="381">
        <f t="shared" ref="C18:X18" si="2">SUM(C6:C17)</f>
        <v>26</v>
      </c>
      <c r="D18" s="382">
        <f t="shared" si="2"/>
        <v>28</v>
      </c>
      <c r="E18" s="381">
        <f t="shared" si="2"/>
        <v>10</v>
      </c>
      <c r="F18" s="382">
        <f t="shared" si="2"/>
        <v>5</v>
      </c>
      <c r="G18" s="381">
        <f t="shared" si="2"/>
        <v>3</v>
      </c>
      <c r="H18" s="382">
        <f t="shared" si="2"/>
        <v>10</v>
      </c>
      <c r="I18" s="381">
        <f t="shared" si="2"/>
        <v>6</v>
      </c>
      <c r="J18" s="382">
        <f t="shared" si="2"/>
        <v>9</v>
      </c>
      <c r="K18" s="381">
        <f t="shared" si="2"/>
        <v>10</v>
      </c>
      <c r="L18" s="382">
        <f t="shared" si="2"/>
        <v>4</v>
      </c>
      <c r="M18" s="381">
        <f t="shared" si="2"/>
        <v>13</v>
      </c>
      <c r="N18" s="382">
        <f t="shared" si="2"/>
        <v>1</v>
      </c>
      <c r="O18" s="381">
        <f t="shared" si="2"/>
        <v>10</v>
      </c>
      <c r="P18" s="382">
        <f t="shared" si="2"/>
        <v>1</v>
      </c>
      <c r="Q18" s="381">
        <f t="shared" si="2"/>
        <v>10</v>
      </c>
      <c r="R18" s="382">
        <f t="shared" si="2"/>
        <v>4</v>
      </c>
      <c r="S18" s="381">
        <f t="shared" si="2"/>
        <v>1</v>
      </c>
      <c r="T18" s="382">
        <f t="shared" si="2"/>
        <v>0</v>
      </c>
      <c r="U18" s="381">
        <f t="shared" si="2"/>
        <v>0</v>
      </c>
      <c r="V18" s="382">
        <f t="shared" si="2"/>
        <v>0</v>
      </c>
      <c r="W18" s="381">
        <f t="shared" si="2"/>
        <v>89</v>
      </c>
      <c r="X18" s="383">
        <f t="shared" si="2"/>
        <v>62</v>
      </c>
    </row>
    <row r="19" spans="1:25" s="33" customFormat="1" ht="19.5" customHeight="1" x14ac:dyDescent="0.2">
      <c r="A19" s="17"/>
      <c r="B19" s="2"/>
      <c r="C19" s="3"/>
      <c r="D19" s="3"/>
      <c r="E19" s="3"/>
      <c r="F19" s="3"/>
      <c r="G19" s="3"/>
      <c r="H19" s="3"/>
      <c r="I19" s="3"/>
      <c r="J19" s="3"/>
      <c r="K19" s="66"/>
      <c r="Y19" s="48"/>
    </row>
    <row r="20" spans="1:25" s="3" customFormat="1" x14ac:dyDescent="0.2">
      <c r="A20" s="17"/>
      <c r="B20" s="2"/>
    </row>
  </sheetData>
  <sheetProtection password="DD41" sheet="1" formatColumns="0" selectLockedCells="1"/>
  <mergeCells count="12">
    <mergeCell ref="A1:V1"/>
    <mergeCell ref="C4:D4"/>
    <mergeCell ref="E4:F4"/>
    <mergeCell ref="G4:H4"/>
    <mergeCell ref="I4:J4"/>
    <mergeCell ref="P2:X2"/>
    <mergeCell ref="U4:V4"/>
    <mergeCell ref="K4:L4"/>
    <mergeCell ref="S4:T4"/>
    <mergeCell ref="M4:N4"/>
    <mergeCell ref="O4:P4"/>
    <mergeCell ref="Q4:R4"/>
  </mergeCells>
  <phoneticPr fontId="30" type="noConversion"/>
  <conditionalFormatting sqref="A6:X17">
    <cfRule type="expression" dxfId="23" priority="1" stopIfTrue="1">
      <formula>$Y6&gt;0</formula>
    </cfRule>
  </conditionalFormatting>
  <printOptions horizontalCentered="1" verticalCentered="1"/>
  <pageMargins left="0" right="0" top="0.19685039370078741" bottom="0.15748031496062992" header="0.19685039370078741" footer="0.19685039370078741"/>
  <pageSetup paperSize="9" scale="7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5"/>
  <dimension ref="A1:AC21"/>
  <sheetViews>
    <sheetView showGridLines="0" zoomScale="85" workbookViewId="0">
      <pane xSplit="2" ySplit="5" topLeftCell="C6" activePane="bottomRight" state="frozen"/>
      <selection activeCell="E11" sqref="E11"/>
      <selection pane="topRight" activeCell="E11" sqref="E11"/>
      <selection pane="bottomLeft" activeCell="E11" sqref="E11"/>
      <selection pane="bottomRight" activeCell="P11" sqref="P11"/>
    </sheetView>
  </sheetViews>
  <sheetFormatPr defaultColWidth="10.7109375" defaultRowHeight="10.199999999999999" x14ac:dyDescent="0.2"/>
  <cols>
    <col min="1" max="1" width="57.7109375" style="33" customWidth="1"/>
    <col min="2" max="2" width="8.140625" style="35" bestFit="1" customWidth="1"/>
    <col min="3" max="4" width="6.7109375" style="33" customWidth="1"/>
    <col min="5" max="24" width="8" style="33" customWidth="1"/>
    <col min="25" max="26" width="6.42578125" style="33" customWidth="1"/>
    <col min="27" max="28" width="8.140625" style="33" customWidth="1"/>
    <col min="29" max="29" width="0" style="33" hidden="1" customWidth="1"/>
    <col min="30" max="16384" width="10.7109375" style="33"/>
  </cols>
  <sheetData>
    <row r="1" spans="1:29" s="3" customFormat="1" ht="43.5" customHeight="1" x14ac:dyDescent="0.2">
      <c r="A1" s="1097" t="str">
        <f>'t1'!A1</f>
        <v>AFAM - anno 2023</v>
      </c>
      <c r="B1" s="1097"/>
      <c r="C1" s="1097"/>
      <c r="D1" s="1097"/>
      <c r="E1" s="1097"/>
      <c r="F1" s="1097"/>
      <c r="G1" s="1097"/>
      <c r="H1" s="1097"/>
      <c r="I1" s="1097"/>
      <c r="J1" s="1097"/>
      <c r="K1" s="1097"/>
      <c r="L1" s="1097"/>
      <c r="M1" s="1097"/>
      <c r="N1" s="1097"/>
      <c r="O1" s="1097"/>
      <c r="P1" s="1097"/>
      <c r="Q1" s="1097"/>
      <c r="R1" s="1097"/>
      <c r="S1" s="1097"/>
      <c r="T1" s="1097"/>
      <c r="U1" s="1097"/>
      <c r="V1" s="1097"/>
      <c r="W1" s="1097"/>
      <c r="X1" s="1097"/>
      <c r="Y1" s="1097"/>
      <c r="AB1" s="268"/>
    </row>
    <row r="2" spans="1:29" ht="30" customHeight="1" thickBot="1" x14ac:dyDescent="0.25">
      <c r="A2" s="34"/>
      <c r="S2" s="1129"/>
      <c r="T2" s="1129"/>
      <c r="U2" s="1129"/>
      <c r="V2" s="1129"/>
      <c r="W2" s="1129"/>
      <c r="X2" s="1129"/>
      <c r="Y2" s="1129"/>
      <c r="Z2" s="1129"/>
      <c r="AA2" s="1129"/>
      <c r="AB2" s="1129"/>
    </row>
    <row r="3" spans="1:29" ht="16.5" customHeight="1" thickBot="1" x14ac:dyDescent="0.25">
      <c r="A3" s="36"/>
      <c r="B3" s="37"/>
      <c r="C3" s="38" t="s">
        <v>213</v>
      </c>
      <c r="D3" s="39"/>
      <c r="E3" s="39"/>
      <c r="F3" s="39"/>
      <c r="G3" s="39"/>
      <c r="H3" s="39"/>
      <c r="I3" s="39"/>
      <c r="J3" s="39"/>
      <c r="K3" s="39"/>
      <c r="L3" s="39"/>
      <c r="M3" s="39"/>
      <c r="N3" s="39"/>
      <c r="O3" s="39"/>
      <c r="P3" s="39"/>
      <c r="Q3" s="39"/>
      <c r="R3" s="39"/>
      <c r="S3" s="39"/>
      <c r="T3" s="39"/>
      <c r="U3" s="39"/>
      <c r="V3" s="39"/>
      <c r="W3" s="39"/>
      <c r="X3" s="40"/>
      <c r="Y3" s="39"/>
      <c r="Z3" s="40"/>
      <c r="AA3" s="39"/>
      <c r="AB3" s="40"/>
    </row>
    <row r="4" spans="1:29" ht="16.5" customHeight="1" thickTop="1" x14ac:dyDescent="0.2">
      <c r="A4" s="234" t="s">
        <v>108</v>
      </c>
      <c r="B4" s="41" t="s">
        <v>52</v>
      </c>
      <c r="C4" s="1162" t="s">
        <v>141</v>
      </c>
      <c r="D4" s="1164"/>
      <c r="E4" s="135" t="s">
        <v>142</v>
      </c>
      <c r="F4" s="134"/>
      <c r="G4" s="1162" t="s">
        <v>62</v>
      </c>
      <c r="H4" s="1164"/>
      <c r="I4" s="1162" t="s">
        <v>63</v>
      </c>
      <c r="J4" s="1164"/>
      <c r="K4" s="1162" t="s">
        <v>64</v>
      </c>
      <c r="L4" s="1164"/>
      <c r="M4" s="1162" t="s">
        <v>65</v>
      </c>
      <c r="N4" s="1164"/>
      <c r="O4" s="1162" t="s">
        <v>66</v>
      </c>
      <c r="P4" s="1164"/>
      <c r="Q4" s="1162" t="s">
        <v>67</v>
      </c>
      <c r="R4" s="1164"/>
      <c r="S4" s="1162" t="s">
        <v>68</v>
      </c>
      <c r="T4" s="1164"/>
      <c r="U4" s="1162" t="s">
        <v>69</v>
      </c>
      <c r="V4" s="1164"/>
      <c r="W4" s="1162" t="s">
        <v>340</v>
      </c>
      <c r="X4" s="1164"/>
      <c r="Y4" s="1162" t="s">
        <v>341</v>
      </c>
      <c r="Z4" s="1163"/>
      <c r="AA4" s="1162" t="s">
        <v>55</v>
      </c>
      <c r="AB4" s="1163"/>
    </row>
    <row r="5" spans="1:29" ht="10.8" thickBot="1" x14ac:dyDescent="0.25">
      <c r="A5" s="691" t="s">
        <v>518</v>
      </c>
      <c r="B5" s="42"/>
      <c r="C5" s="43" t="s">
        <v>70</v>
      </c>
      <c r="D5" s="44" t="s">
        <v>71</v>
      </c>
      <c r="E5" s="43" t="s">
        <v>70</v>
      </c>
      <c r="F5" s="44" t="s">
        <v>71</v>
      </c>
      <c r="G5" s="43" t="s">
        <v>70</v>
      </c>
      <c r="H5" s="44" t="s">
        <v>71</v>
      </c>
      <c r="I5" s="43" t="s">
        <v>70</v>
      </c>
      <c r="J5" s="44" t="s">
        <v>71</v>
      </c>
      <c r="K5" s="43" t="s">
        <v>70</v>
      </c>
      <c r="L5" s="44" t="s">
        <v>71</v>
      </c>
      <c r="M5" s="43" t="s">
        <v>70</v>
      </c>
      <c r="N5" s="44" t="s">
        <v>71</v>
      </c>
      <c r="O5" s="43" t="s">
        <v>70</v>
      </c>
      <c r="P5" s="44" t="s">
        <v>71</v>
      </c>
      <c r="Q5" s="43" t="s">
        <v>70</v>
      </c>
      <c r="R5" s="44" t="s">
        <v>71</v>
      </c>
      <c r="S5" s="43" t="s">
        <v>70</v>
      </c>
      <c r="T5" s="44" t="s">
        <v>71</v>
      </c>
      <c r="U5" s="43" t="s">
        <v>70</v>
      </c>
      <c r="V5" s="44" t="s">
        <v>71</v>
      </c>
      <c r="W5" s="43" t="s">
        <v>70</v>
      </c>
      <c r="X5" s="45" t="s">
        <v>71</v>
      </c>
      <c r="Y5" s="43" t="s">
        <v>70</v>
      </c>
      <c r="Z5" s="45" t="s">
        <v>71</v>
      </c>
      <c r="AA5" s="43" t="s">
        <v>70</v>
      </c>
      <c r="AB5" s="45" t="s">
        <v>71</v>
      </c>
    </row>
    <row r="6" spans="1:29" ht="13.5" customHeight="1" thickTop="1" x14ac:dyDescent="0.2">
      <c r="A6" s="16" t="str">
        <f>'t1'!A6</f>
        <v>PROFESSORI DI PRIMA FASCIA</v>
      </c>
      <c r="B6" s="197" t="str">
        <f>'t1'!B6</f>
        <v>018P01</v>
      </c>
      <c r="C6" s="219"/>
      <c r="D6" s="220"/>
      <c r="E6" s="221"/>
      <c r="F6" s="220"/>
      <c r="G6" s="219"/>
      <c r="H6" s="220"/>
      <c r="I6" s="219"/>
      <c r="J6" s="220"/>
      <c r="K6" s="219">
        <v>2</v>
      </c>
      <c r="L6" s="220">
        <v>1</v>
      </c>
      <c r="M6" s="219">
        <v>2</v>
      </c>
      <c r="N6" s="220">
        <v>1</v>
      </c>
      <c r="O6" s="221">
        <v>4</v>
      </c>
      <c r="P6" s="222">
        <v>1</v>
      </c>
      <c r="Q6" s="219">
        <v>9</v>
      </c>
      <c r="R6" s="220"/>
      <c r="S6" s="219">
        <v>21</v>
      </c>
      <c r="T6" s="220">
        <v>8</v>
      </c>
      <c r="U6" s="219">
        <v>23</v>
      </c>
      <c r="V6" s="220">
        <v>6</v>
      </c>
      <c r="W6" s="223">
        <v>7</v>
      </c>
      <c r="X6" s="224">
        <v>3</v>
      </c>
      <c r="Y6" s="223"/>
      <c r="Z6" s="224">
        <v>1</v>
      </c>
      <c r="AA6" s="387">
        <f>SUM(C6,E6,G6,I6,K6,M6,O6,Q6,S6,U6,W6,Y6)</f>
        <v>68</v>
      </c>
      <c r="AB6" s="388">
        <f>SUM(D6,F6,H6,J6,L6,N6,P6,R6,T6,V6,X6,Z6)</f>
        <v>21</v>
      </c>
      <c r="AC6" s="33">
        <f>'t1'!M6</f>
        <v>89</v>
      </c>
    </row>
    <row r="7" spans="1:29" ht="14.1" customHeight="1" x14ac:dyDescent="0.2">
      <c r="A7" s="126" t="str">
        <f>'t1'!A7</f>
        <v>DIRETTORE AMMINISTRATIVO EP2</v>
      </c>
      <c r="B7" s="190" t="str">
        <f>'t1'!B7</f>
        <v>013504</v>
      </c>
      <c r="C7" s="219"/>
      <c r="D7" s="220"/>
      <c r="E7" s="221"/>
      <c r="F7" s="220"/>
      <c r="G7" s="219"/>
      <c r="H7" s="220"/>
      <c r="I7" s="219"/>
      <c r="J7" s="220"/>
      <c r="K7" s="219"/>
      <c r="L7" s="220"/>
      <c r="M7" s="219"/>
      <c r="N7" s="220"/>
      <c r="O7" s="221"/>
      <c r="P7" s="222"/>
      <c r="Q7" s="219"/>
      <c r="R7" s="220"/>
      <c r="S7" s="219"/>
      <c r="T7" s="220"/>
      <c r="U7" s="219"/>
      <c r="V7" s="220"/>
      <c r="W7" s="223"/>
      <c r="X7" s="220"/>
      <c r="Y7" s="223"/>
      <c r="Z7" s="220"/>
      <c r="AA7" s="389">
        <f t="shared" ref="AA7:AA17" si="0">SUM(C7,E7,G7,I7,K7,M7,O7,Q7,S7,U7,W7,Y7)</f>
        <v>0</v>
      </c>
      <c r="AB7" s="390">
        <f t="shared" ref="AB7:AB17" si="1">SUM(D7,F7,H7,J7,L7,N7,P7,R7,T7,V7,X7,Z7)</f>
        <v>0</v>
      </c>
      <c r="AC7" s="33">
        <f>'t1'!M7</f>
        <v>0</v>
      </c>
    </row>
    <row r="8" spans="1:29" ht="14.1" customHeight="1" x14ac:dyDescent="0.2">
      <c r="A8" s="126" t="str">
        <f>'t1'!A8</f>
        <v>DIRETTORE DELL UFFICIO DI RAGIONERIA (EP1)</v>
      </c>
      <c r="B8" s="190" t="str">
        <f>'t1'!B8</f>
        <v>013159</v>
      </c>
      <c r="C8" s="219"/>
      <c r="D8" s="220"/>
      <c r="E8" s="221"/>
      <c r="F8" s="220"/>
      <c r="G8" s="219"/>
      <c r="H8" s="220"/>
      <c r="I8" s="219"/>
      <c r="J8" s="220"/>
      <c r="K8" s="219"/>
      <c r="L8" s="220"/>
      <c r="M8" s="219"/>
      <c r="N8" s="220"/>
      <c r="O8" s="221"/>
      <c r="P8" s="222"/>
      <c r="Q8" s="219"/>
      <c r="R8" s="220"/>
      <c r="S8" s="219"/>
      <c r="T8" s="220"/>
      <c r="U8" s="219"/>
      <c r="V8" s="220"/>
      <c r="W8" s="223"/>
      <c r="X8" s="220"/>
      <c r="Y8" s="223"/>
      <c r="Z8" s="220"/>
      <c r="AA8" s="389">
        <f t="shared" si="0"/>
        <v>0</v>
      </c>
      <c r="AB8" s="390">
        <f t="shared" si="1"/>
        <v>0</v>
      </c>
      <c r="AC8" s="33">
        <f>'t1'!M8</f>
        <v>0</v>
      </c>
    </row>
    <row r="9" spans="1:29" ht="14.1" customHeight="1" x14ac:dyDescent="0.2">
      <c r="A9" s="126" t="str">
        <f>'t1'!A9</f>
        <v>COLLABORATORE AREA III</v>
      </c>
      <c r="B9" s="190" t="str">
        <f>'t1'!B9</f>
        <v>013CTE</v>
      </c>
      <c r="C9" s="219"/>
      <c r="D9" s="220"/>
      <c r="E9" s="221"/>
      <c r="F9" s="220"/>
      <c r="G9" s="219"/>
      <c r="H9" s="220"/>
      <c r="I9" s="219"/>
      <c r="J9" s="220"/>
      <c r="K9" s="219"/>
      <c r="L9" s="220"/>
      <c r="M9" s="219"/>
      <c r="N9" s="220"/>
      <c r="O9" s="221"/>
      <c r="P9" s="222">
        <v>1</v>
      </c>
      <c r="Q9" s="219"/>
      <c r="R9" s="220"/>
      <c r="S9" s="219"/>
      <c r="T9" s="220"/>
      <c r="U9" s="219"/>
      <c r="V9" s="220"/>
      <c r="W9" s="223"/>
      <c r="X9" s="220"/>
      <c r="Y9" s="223"/>
      <c r="Z9" s="220"/>
      <c r="AA9" s="389">
        <f t="shared" si="0"/>
        <v>0</v>
      </c>
      <c r="AB9" s="390">
        <f t="shared" si="1"/>
        <v>1</v>
      </c>
      <c r="AC9" s="33">
        <f>'t1'!M9</f>
        <v>1</v>
      </c>
    </row>
    <row r="10" spans="1:29" ht="14.1" customHeight="1" x14ac:dyDescent="0.2">
      <c r="A10" s="126" t="str">
        <f>'t1'!A10</f>
        <v>ASSISTENTE AREA II</v>
      </c>
      <c r="B10" s="190" t="str">
        <f>'t1'!B10</f>
        <v>012117</v>
      </c>
      <c r="C10" s="219"/>
      <c r="D10" s="220"/>
      <c r="E10" s="221"/>
      <c r="F10" s="220"/>
      <c r="G10" s="219"/>
      <c r="H10" s="220"/>
      <c r="I10" s="219">
        <v>1</v>
      </c>
      <c r="J10" s="220">
        <v>1</v>
      </c>
      <c r="K10" s="219">
        <v>1</v>
      </c>
      <c r="L10" s="220">
        <v>2</v>
      </c>
      <c r="M10" s="219"/>
      <c r="N10" s="220">
        <v>1</v>
      </c>
      <c r="O10" s="221"/>
      <c r="P10" s="222">
        <v>3</v>
      </c>
      <c r="Q10" s="219">
        <v>1</v>
      </c>
      <c r="R10" s="220">
        <v>1</v>
      </c>
      <c r="S10" s="219">
        <v>1</v>
      </c>
      <c r="T10" s="220"/>
      <c r="U10" s="219"/>
      <c r="V10" s="220">
        <v>1</v>
      </c>
      <c r="W10" s="223"/>
      <c r="X10" s="220"/>
      <c r="Y10" s="223"/>
      <c r="Z10" s="220"/>
      <c r="AA10" s="389">
        <f t="shared" si="0"/>
        <v>4</v>
      </c>
      <c r="AB10" s="390">
        <f t="shared" si="1"/>
        <v>9</v>
      </c>
      <c r="AC10" s="33">
        <f>'t1'!M10</f>
        <v>13</v>
      </c>
    </row>
    <row r="11" spans="1:29" ht="14.1" customHeight="1" x14ac:dyDescent="0.2">
      <c r="A11" s="126" t="str">
        <f>'t1'!A11</f>
        <v>COADIUTORE AREA I</v>
      </c>
      <c r="B11" s="190" t="str">
        <f>'t1'!B11</f>
        <v>011121</v>
      </c>
      <c r="C11" s="219"/>
      <c r="D11" s="220"/>
      <c r="E11" s="221"/>
      <c r="F11" s="220"/>
      <c r="G11" s="219"/>
      <c r="H11" s="220"/>
      <c r="I11" s="219"/>
      <c r="J11" s="220"/>
      <c r="K11" s="219"/>
      <c r="L11" s="220"/>
      <c r="M11" s="219"/>
      <c r="N11" s="220">
        <v>1</v>
      </c>
      <c r="O11" s="221"/>
      <c r="P11" s="222">
        <v>1</v>
      </c>
      <c r="Q11" s="219"/>
      <c r="R11" s="220">
        <v>3</v>
      </c>
      <c r="S11" s="219"/>
      <c r="T11" s="220">
        <v>6</v>
      </c>
      <c r="U11" s="219">
        <v>1</v>
      </c>
      <c r="V11" s="220">
        <v>2</v>
      </c>
      <c r="W11" s="223"/>
      <c r="X11" s="220"/>
      <c r="Y11" s="223"/>
      <c r="Z11" s="220"/>
      <c r="AA11" s="389">
        <f t="shared" si="0"/>
        <v>1</v>
      </c>
      <c r="AB11" s="390">
        <f t="shared" si="1"/>
        <v>13</v>
      </c>
      <c r="AC11" s="33">
        <f>'t1'!M11</f>
        <v>14</v>
      </c>
    </row>
    <row r="12" spans="1:29" ht="14.1" customHeight="1" x14ac:dyDescent="0.2">
      <c r="A12" s="126" t="str">
        <f>'t1'!A12</f>
        <v>PROFESSORI DI PRIMA FASCIA TEMPO DET.ANNUALE</v>
      </c>
      <c r="B12" s="190" t="str">
        <f>'t1'!B12</f>
        <v>018PD1</v>
      </c>
      <c r="C12" s="219"/>
      <c r="D12" s="220"/>
      <c r="E12" s="221"/>
      <c r="F12" s="220"/>
      <c r="G12" s="219">
        <v>1</v>
      </c>
      <c r="H12" s="220"/>
      <c r="I12" s="219">
        <v>2</v>
      </c>
      <c r="J12" s="220">
        <v>4</v>
      </c>
      <c r="K12" s="219">
        <v>2</v>
      </c>
      <c r="L12" s="220">
        <v>1</v>
      </c>
      <c r="M12" s="219">
        <v>2</v>
      </c>
      <c r="N12" s="220"/>
      <c r="O12" s="221">
        <v>1</v>
      </c>
      <c r="P12" s="222">
        <v>1</v>
      </c>
      <c r="Q12" s="219">
        <v>5</v>
      </c>
      <c r="R12" s="220"/>
      <c r="S12" s="219">
        <v>1</v>
      </c>
      <c r="T12" s="220">
        <v>1</v>
      </c>
      <c r="U12" s="219"/>
      <c r="V12" s="220"/>
      <c r="W12" s="223"/>
      <c r="X12" s="220"/>
      <c r="Y12" s="223"/>
      <c r="Z12" s="220"/>
      <c r="AA12" s="389">
        <f t="shared" si="0"/>
        <v>14</v>
      </c>
      <c r="AB12" s="390">
        <f t="shared" si="1"/>
        <v>7</v>
      </c>
      <c r="AC12" s="33">
        <f>'t1'!M12</f>
        <v>21</v>
      </c>
    </row>
    <row r="13" spans="1:29" ht="14.1" customHeight="1" x14ac:dyDescent="0.2">
      <c r="A13" s="126" t="str">
        <f>'t1'!A13</f>
        <v>DIRETTORE AMMINISTRATIVO TEMPO DET.ANNUALE (EP2)</v>
      </c>
      <c r="B13" s="190" t="str">
        <f>'t1'!B13</f>
        <v>013EP2</v>
      </c>
      <c r="C13" s="219"/>
      <c r="D13" s="220"/>
      <c r="E13" s="221"/>
      <c r="F13" s="220"/>
      <c r="G13" s="219"/>
      <c r="H13" s="220"/>
      <c r="I13" s="219"/>
      <c r="J13" s="220"/>
      <c r="K13" s="219"/>
      <c r="L13" s="220"/>
      <c r="M13" s="219">
        <v>1</v>
      </c>
      <c r="N13" s="220"/>
      <c r="O13" s="221"/>
      <c r="P13" s="222"/>
      <c r="Q13" s="219"/>
      <c r="R13" s="220"/>
      <c r="S13" s="219"/>
      <c r="T13" s="220"/>
      <c r="U13" s="219"/>
      <c r="V13" s="220"/>
      <c r="W13" s="223"/>
      <c r="X13" s="220"/>
      <c r="Y13" s="223"/>
      <c r="Z13" s="220"/>
      <c r="AA13" s="389">
        <f t="shared" si="0"/>
        <v>1</v>
      </c>
      <c r="AB13" s="390">
        <f t="shared" si="1"/>
        <v>0</v>
      </c>
      <c r="AC13" s="33">
        <f>'t1'!M13</f>
        <v>1</v>
      </c>
    </row>
    <row r="14" spans="1:29" ht="14.1" customHeight="1" x14ac:dyDescent="0.2">
      <c r="A14" s="126" t="str">
        <f>'t1'!A14</f>
        <v>DIRETTORE DELL UFFICIO DI RAGIONERIA TEMPO DET.ANNUALE (EP1)</v>
      </c>
      <c r="B14" s="190" t="str">
        <f>'t1'!B14</f>
        <v>013160</v>
      </c>
      <c r="C14" s="219"/>
      <c r="D14" s="220"/>
      <c r="E14" s="221"/>
      <c r="F14" s="220"/>
      <c r="G14" s="219"/>
      <c r="H14" s="220"/>
      <c r="I14" s="219"/>
      <c r="J14" s="220"/>
      <c r="K14" s="219"/>
      <c r="L14" s="220"/>
      <c r="M14" s="219"/>
      <c r="N14" s="220">
        <v>1</v>
      </c>
      <c r="O14" s="221"/>
      <c r="P14" s="222"/>
      <c r="Q14" s="219"/>
      <c r="R14" s="220"/>
      <c r="S14" s="219"/>
      <c r="T14" s="220"/>
      <c r="U14" s="219"/>
      <c r="V14" s="220"/>
      <c r="W14" s="223"/>
      <c r="X14" s="220"/>
      <c r="Y14" s="223"/>
      <c r="Z14" s="220"/>
      <c r="AA14" s="389">
        <f t="shared" si="0"/>
        <v>0</v>
      </c>
      <c r="AB14" s="390">
        <f t="shared" si="1"/>
        <v>1</v>
      </c>
      <c r="AC14" s="33">
        <f>'t1'!M14</f>
        <v>1</v>
      </c>
    </row>
    <row r="15" spans="1:29" ht="14.1" customHeight="1" x14ac:dyDescent="0.2">
      <c r="A15" s="126" t="str">
        <f>'t1'!A15</f>
        <v>COLLABORATORE AREA III TEMPO DET. ANNUALE</v>
      </c>
      <c r="B15" s="190" t="str">
        <f>'t1'!B15</f>
        <v>013CDE</v>
      </c>
      <c r="C15" s="219"/>
      <c r="D15" s="220"/>
      <c r="E15" s="221"/>
      <c r="F15" s="220"/>
      <c r="G15" s="219"/>
      <c r="H15" s="220"/>
      <c r="I15" s="219"/>
      <c r="J15" s="220"/>
      <c r="K15" s="219"/>
      <c r="L15" s="220"/>
      <c r="M15" s="219"/>
      <c r="N15" s="220"/>
      <c r="O15" s="221"/>
      <c r="P15" s="222"/>
      <c r="Q15" s="219"/>
      <c r="R15" s="220"/>
      <c r="S15" s="219"/>
      <c r="T15" s="220"/>
      <c r="U15" s="219"/>
      <c r="V15" s="220"/>
      <c r="W15" s="223"/>
      <c r="X15" s="220"/>
      <c r="Y15" s="223"/>
      <c r="Z15" s="220"/>
      <c r="AA15" s="389">
        <f t="shared" si="0"/>
        <v>0</v>
      </c>
      <c r="AB15" s="390">
        <f t="shared" si="1"/>
        <v>0</v>
      </c>
      <c r="AC15" s="33">
        <f>'t1'!M15</f>
        <v>0</v>
      </c>
    </row>
    <row r="16" spans="1:29" ht="14.1" customHeight="1" x14ac:dyDescent="0.2">
      <c r="A16" s="126" t="str">
        <f>'t1'!A16</f>
        <v>ASSISTENTE AREA II TEMPO DET. ANNUALE</v>
      </c>
      <c r="B16" s="190" t="str">
        <f>'t1'!B16</f>
        <v>012118</v>
      </c>
      <c r="C16" s="219"/>
      <c r="D16" s="220"/>
      <c r="E16" s="221"/>
      <c r="F16" s="220"/>
      <c r="G16" s="219"/>
      <c r="H16" s="220">
        <v>1</v>
      </c>
      <c r="I16" s="219"/>
      <c r="J16" s="220"/>
      <c r="K16" s="219"/>
      <c r="L16" s="220">
        <v>1</v>
      </c>
      <c r="M16" s="219"/>
      <c r="N16" s="220">
        <v>2</v>
      </c>
      <c r="O16" s="221"/>
      <c r="P16" s="222">
        <v>2</v>
      </c>
      <c r="Q16" s="219"/>
      <c r="R16" s="220"/>
      <c r="S16" s="219"/>
      <c r="T16" s="220"/>
      <c r="U16" s="219"/>
      <c r="V16" s="220"/>
      <c r="W16" s="223"/>
      <c r="X16" s="220"/>
      <c r="Y16" s="223"/>
      <c r="Z16" s="220"/>
      <c r="AA16" s="389">
        <f t="shared" si="0"/>
        <v>0</v>
      </c>
      <c r="AB16" s="390">
        <f t="shared" si="1"/>
        <v>6</v>
      </c>
      <c r="AC16" s="33">
        <f>'t1'!M16</f>
        <v>6</v>
      </c>
    </row>
    <row r="17" spans="1:29" ht="14.1" customHeight="1" thickBot="1" x14ac:dyDescent="0.25">
      <c r="A17" s="126" t="str">
        <f>'t1'!A17</f>
        <v>COADIUTORE AREA I TEMPO DET.ANNUALE</v>
      </c>
      <c r="B17" s="190" t="str">
        <f>'t1'!B17</f>
        <v>011124</v>
      </c>
      <c r="C17" s="219"/>
      <c r="D17" s="220"/>
      <c r="E17" s="221"/>
      <c r="F17" s="220"/>
      <c r="G17" s="219"/>
      <c r="H17" s="220"/>
      <c r="I17" s="219"/>
      <c r="J17" s="220"/>
      <c r="K17" s="219"/>
      <c r="L17" s="220"/>
      <c r="M17" s="219"/>
      <c r="N17" s="220"/>
      <c r="O17" s="221"/>
      <c r="P17" s="222">
        <v>1</v>
      </c>
      <c r="Q17" s="219">
        <v>1</v>
      </c>
      <c r="R17" s="220">
        <v>1</v>
      </c>
      <c r="S17" s="219"/>
      <c r="T17" s="220"/>
      <c r="U17" s="219"/>
      <c r="V17" s="220">
        <v>2</v>
      </c>
      <c r="W17" s="223"/>
      <c r="X17" s="220"/>
      <c r="Y17" s="223"/>
      <c r="Z17" s="220"/>
      <c r="AA17" s="389">
        <f t="shared" si="0"/>
        <v>1</v>
      </c>
      <c r="AB17" s="390">
        <f t="shared" si="1"/>
        <v>4</v>
      </c>
      <c r="AC17" s="33">
        <f>'t1'!M17</f>
        <v>5</v>
      </c>
    </row>
    <row r="18" spans="1:29" ht="16.5" customHeight="1" thickTop="1" thickBot="1" x14ac:dyDescent="0.25">
      <c r="A18" s="46" t="s">
        <v>55</v>
      </c>
      <c r="B18" s="47"/>
      <c r="C18" s="391">
        <f t="shared" ref="C18:AB18" si="2">SUM(C6:C17)</f>
        <v>0</v>
      </c>
      <c r="D18" s="393">
        <f t="shared" si="2"/>
        <v>0</v>
      </c>
      <c r="E18" s="391">
        <f t="shared" si="2"/>
        <v>0</v>
      </c>
      <c r="F18" s="393">
        <f t="shared" si="2"/>
        <v>0</v>
      </c>
      <c r="G18" s="391">
        <f t="shared" si="2"/>
        <v>1</v>
      </c>
      <c r="H18" s="393">
        <f t="shared" si="2"/>
        <v>1</v>
      </c>
      <c r="I18" s="391">
        <f t="shared" si="2"/>
        <v>3</v>
      </c>
      <c r="J18" s="393">
        <f t="shared" si="2"/>
        <v>5</v>
      </c>
      <c r="K18" s="391">
        <f t="shared" si="2"/>
        <v>5</v>
      </c>
      <c r="L18" s="393">
        <f t="shared" si="2"/>
        <v>5</v>
      </c>
      <c r="M18" s="391">
        <f t="shared" si="2"/>
        <v>5</v>
      </c>
      <c r="N18" s="393">
        <f t="shared" si="2"/>
        <v>6</v>
      </c>
      <c r="O18" s="391">
        <f t="shared" si="2"/>
        <v>5</v>
      </c>
      <c r="P18" s="393">
        <f t="shared" si="2"/>
        <v>10</v>
      </c>
      <c r="Q18" s="391">
        <f t="shared" si="2"/>
        <v>16</v>
      </c>
      <c r="R18" s="393">
        <f t="shared" si="2"/>
        <v>5</v>
      </c>
      <c r="S18" s="391">
        <f t="shared" si="2"/>
        <v>23</v>
      </c>
      <c r="T18" s="393">
        <f t="shared" si="2"/>
        <v>15</v>
      </c>
      <c r="U18" s="391">
        <f t="shared" si="2"/>
        <v>24</v>
      </c>
      <c r="V18" s="393">
        <f t="shared" si="2"/>
        <v>11</v>
      </c>
      <c r="W18" s="391">
        <f t="shared" si="2"/>
        <v>7</v>
      </c>
      <c r="X18" s="393">
        <f t="shared" si="2"/>
        <v>3</v>
      </c>
      <c r="Y18" s="391">
        <f t="shared" si="2"/>
        <v>0</v>
      </c>
      <c r="Z18" s="393">
        <f t="shared" si="2"/>
        <v>1</v>
      </c>
      <c r="AA18" s="391">
        <f t="shared" si="2"/>
        <v>89</v>
      </c>
      <c r="AB18" s="392">
        <f t="shared" si="2"/>
        <v>62</v>
      </c>
    </row>
    <row r="19" spans="1:29" ht="8.25" customHeight="1" x14ac:dyDescent="0.2">
      <c r="A19" s="127"/>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row>
    <row r="20" spans="1:29" x14ac:dyDescent="0.2">
      <c r="A20" s="17"/>
      <c r="B20" s="2"/>
      <c r="C20" s="3"/>
      <c r="D20" s="3"/>
      <c r="E20" s="3"/>
      <c r="F20" s="3"/>
      <c r="G20" s="3"/>
      <c r="H20" s="3"/>
      <c r="I20" s="3"/>
      <c r="J20" s="3"/>
      <c r="K20" s="3"/>
      <c r="L20" s="3"/>
      <c r="M20" s="66"/>
    </row>
    <row r="21" spans="1:29" s="3" customFormat="1" x14ac:dyDescent="0.2">
      <c r="A21" s="17"/>
      <c r="B21" s="2"/>
    </row>
  </sheetData>
  <sheetProtection password="DD41" sheet="1" formatColumns="0" selectLockedCells="1"/>
  <mergeCells count="14">
    <mergeCell ref="AA4:AB4"/>
    <mergeCell ref="U4:V4"/>
    <mergeCell ref="Y4:Z4"/>
    <mergeCell ref="W4:X4"/>
    <mergeCell ref="A1:Y1"/>
    <mergeCell ref="S2:AB2"/>
    <mergeCell ref="M4:N4"/>
    <mergeCell ref="C4:D4"/>
    <mergeCell ref="G4:H4"/>
    <mergeCell ref="I4:J4"/>
    <mergeCell ref="K4:L4"/>
    <mergeCell ref="O4:P4"/>
    <mergeCell ref="Q4:R4"/>
    <mergeCell ref="S4:T4"/>
  </mergeCells>
  <phoneticPr fontId="30" type="noConversion"/>
  <conditionalFormatting sqref="A6:AB17">
    <cfRule type="expression" dxfId="22" priority="1" stopIfTrue="1">
      <formula>$AC6&gt;0</formula>
    </cfRule>
  </conditionalFormatting>
  <printOptions horizontalCentered="1" verticalCentered="1"/>
  <pageMargins left="0" right="0" top="0.19685039370078741" bottom="0.15748031496062992" header="0.23622047244094491" footer="0.19685039370078741"/>
  <pageSetup paperSize="9" scale="7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6"/>
  <dimension ref="A1:T20"/>
  <sheetViews>
    <sheetView showGridLines="0" workbookViewId="0">
      <pane xSplit="2" ySplit="5" topLeftCell="C6" activePane="bottomRight" state="frozen"/>
      <selection activeCell="E11" sqref="E11"/>
      <selection pane="topRight" activeCell="E11" sqref="E11"/>
      <selection pane="bottomLeft" activeCell="E11" sqref="E11"/>
      <selection pane="bottomRight" activeCell="D11" sqref="D11"/>
    </sheetView>
  </sheetViews>
  <sheetFormatPr defaultColWidth="10.7109375" defaultRowHeight="13.2" x14ac:dyDescent="0.25"/>
  <cols>
    <col min="1" max="1" width="57.7109375" style="25" customWidth="1"/>
    <col min="2" max="2" width="10.7109375" style="25" customWidth="1"/>
    <col min="3" max="16" width="13.7109375" style="25" customWidth="1"/>
    <col min="17" max="17" width="0" style="25" hidden="1" customWidth="1"/>
    <col min="18" max="16384" width="10.7109375" style="25"/>
  </cols>
  <sheetData>
    <row r="1" spans="1:17" s="3" customFormat="1" ht="43.5" customHeight="1" x14ac:dyDescent="0.2">
      <c r="A1" s="1097" t="str">
        <f>'t1'!A1</f>
        <v>AFAM - anno 2023</v>
      </c>
      <c r="B1" s="1097"/>
      <c r="C1" s="1097"/>
      <c r="D1" s="1097"/>
      <c r="E1" s="1097"/>
      <c r="F1" s="1097"/>
      <c r="G1" s="1097"/>
      <c r="H1" s="1097"/>
      <c r="I1" s="1097"/>
      <c r="J1" s="1097"/>
      <c r="K1" s="1097"/>
      <c r="L1" s="1097"/>
      <c r="M1" s="1097"/>
      <c r="N1" s="1097"/>
      <c r="P1" s="268"/>
      <c r="Q1"/>
    </row>
    <row r="2" spans="1:17" s="3" customFormat="1" ht="5.25" customHeight="1" x14ac:dyDescent="0.2">
      <c r="A2" s="301"/>
      <c r="B2" s="301"/>
      <c r="C2" s="301"/>
      <c r="D2" s="301"/>
      <c r="E2" s="301"/>
      <c r="F2" s="301"/>
      <c r="G2" s="301"/>
      <c r="H2" s="301"/>
      <c r="I2" s="301"/>
      <c r="J2" s="301"/>
      <c r="K2" s="301"/>
      <c r="L2" s="301"/>
      <c r="M2" s="301"/>
      <c r="N2" s="301"/>
      <c r="P2" s="268"/>
      <c r="Q2"/>
    </row>
    <row r="3" spans="1:17" ht="30" customHeight="1" thickBot="1" x14ac:dyDescent="0.3">
      <c r="M3" s="1129"/>
      <c r="N3" s="1129"/>
      <c r="O3" s="1129"/>
      <c r="P3" s="1129"/>
    </row>
    <row r="4" spans="1:17" ht="25.2" customHeight="1" x14ac:dyDescent="0.25">
      <c r="A4" s="686" t="s">
        <v>108</v>
      </c>
      <c r="B4" s="225" t="s">
        <v>52</v>
      </c>
      <c r="C4" s="1165" t="s">
        <v>59</v>
      </c>
      <c r="D4" s="1166"/>
      <c r="E4" s="1165" t="s">
        <v>60</v>
      </c>
      <c r="F4" s="1166"/>
      <c r="G4" s="1165" t="s">
        <v>47</v>
      </c>
      <c r="H4" s="1166"/>
      <c r="I4" s="1165" t="s">
        <v>61</v>
      </c>
      <c r="J4" s="1166"/>
      <c r="K4" s="1165" t="s">
        <v>48</v>
      </c>
      <c r="L4" s="1166"/>
      <c r="M4" s="1165" t="s">
        <v>49</v>
      </c>
      <c r="N4" s="1166"/>
      <c r="O4" s="441" t="s">
        <v>55</v>
      </c>
      <c r="P4" s="442"/>
    </row>
    <row r="5" spans="1:17" ht="14.25" customHeight="1" thickBot="1" x14ac:dyDescent="0.3">
      <c r="A5" s="692" t="s">
        <v>518</v>
      </c>
      <c r="B5" s="26"/>
      <c r="C5" s="27" t="s">
        <v>53</v>
      </c>
      <c r="D5" s="28" t="s">
        <v>54</v>
      </c>
      <c r="E5" s="27" t="s">
        <v>53</v>
      </c>
      <c r="F5" s="28" t="s">
        <v>54</v>
      </c>
      <c r="G5" s="27" t="s">
        <v>53</v>
      </c>
      <c r="H5" s="29" t="s">
        <v>54</v>
      </c>
      <c r="I5" s="27" t="s">
        <v>53</v>
      </c>
      <c r="J5" s="29" t="s">
        <v>54</v>
      </c>
      <c r="K5" s="27" t="s">
        <v>53</v>
      </c>
      <c r="L5" s="30" t="s">
        <v>54</v>
      </c>
      <c r="M5" s="27" t="s">
        <v>53</v>
      </c>
      <c r="N5" s="30" t="s">
        <v>54</v>
      </c>
      <c r="O5" s="444" t="s">
        <v>53</v>
      </c>
      <c r="P5" s="445" t="s">
        <v>54</v>
      </c>
    </row>
    <row r="6" spans="1:17" ht="14.1" customHeight="1" thickTop="1" x14ac:dyDescent="0.25">
      <c r="A6" s="16" t="str">
        <f>'t1'!A6</f>
        <v>PROFESSORI DI PRIMA FASCIA</v>
      </c>
      <c r="B6" s="197" t="str">
        <f>'t1'!B6</f>
        <v>018P01</v>
      </c>
      <c r="C6" s="283">
        <v>3</v>
      </c>
      <c r="D6" s="284"/>
      <c r="E6" s="283">
        <v>44</v>
      </c>
      <c r="F6" s="284">
        <v>10</v>
      </c>
      <c r="G6" s="283">
        <v>3</v>
      </c>
      <c r="H6" s="285">
        <v>4</v>
      </c>
      <c r="I6" s="437">
        <v>18</v>
      </c>
      <c r="J6" s="285">
        <v>7</v>
      </c>
      <c r="K6" s="437"/>
      <c r="L6" s="285"/>
      <c r="M6" s="286"/>
      <c r="N6" s="287"/>
      <c r="O6" s="443">
        <f>SUM(C6,E6,G6,I6,K6,M6)</f>
        <v>68</v>
      </c>
      <c r="P6" s="446">
        <f>SUM(D6,F6,H6,J6,L6,N6)</f>
        <v>21</v>
      </c>
      <c r="Q6" s="25">
        <f>'t1'!M6</f>
        <v>89</v>
      </c>
    </row>
    <row r="7" spans="1:17" ht="14.1" customHeight="1" x14ac:dyDescent="0.25">
      <c r="A7" s="126" t="str">
        <f>'t1'!A7</f>
        <v>DIRETTORE AMMINISTRATIVO EP2</v>
      </c>
      <c r="B7" s="190" t="str">
        <f>'t1'!B7</f>
        <v>013504</v>
      </c>
      <c r="C7" s="288"/>
      <c r="D7" s="289"/>
      <c r="E7" s="288"/>
      <c r="F7" s="289"/>
      <c r="G7" s="288"/>
      <c r="H7" s="290"/>
      <c r="I7" s="438"/>
      <c r="J7" s="290"/>
      <c r="K7" s="438"/>
      <c r="L7" s="290"/>
      <c r="M7" s="291"/>
      <c r="N7" s="292"/>
      <c r="O7" s="394">
        <f t="shared" ref="O7:O17" si="0">SUM(C7,E7,G7,I7,K7,M7)</f>
        <v>0</v>
      </c>
      <c r="P7" s="395">
        <f t="shared" ref="P7:P17" si="1">SUM(D7,F7,H7,J7,L7,N7)</f>
        <v>0</v>
      </c>
      <c r="Q7" s="25">
        <f>'t1'!M7</f>
        <v>0</v>
      </c>
    </row>
    <row r="8" spans="1:17" ht="14.1" customHeight="1" x14ac:dyDescent="0.25">
      <c r="A8" s="126" t="str">
        <f>'t1'!A8</f>
        <v>DIRETTORE DELL UFFICIO DI RAGIONERIA (EP1)</v>
      </c>
      <c r="B8" s="190" t="str">
        <f>'t1'!B8</f>
        <v>013159</v>
      </c>
      <c r="C8" s="288"/>
      <c r="D8" s="289"/>
      <c r="E8" s="288"/>
      <c r="F8" s="289"/>
      <c r="G8" s="288"/>
      <c r="H8" s="290"/>
      <c r="I8" s="438"/>
      <c r="J8" s="290"/>
      <c r="K8" s="438"/>
      <c r="L8" s="290"/>
      <c r="M8" s="291"/>
      <c r="N8" s="292"/>
      <c r="O8" s="394">
        <f t="shared" si="0"/>
        <v>0</v>
      </c>
      <c r="P8" s="395">
        <f t="shared" si="1"/>
        <v>0</v>
      </c>
      <c r="Q8" s="25">
        <f>'t1'!M8</f>
        <v>0</v>
      </c>
    </row>
    <row r="9" spans="1:17" ht="14.1" customHeight="1" x14ac:dyDescent="0.25">
      <c r="A9" s="126" t="str">
        <f>'t1'!A9</f>
        <v>COLLABORATORE AREA III</v>
      </c>
      <c r="B9" s="190" t="str">
        <f>'t1'!B9</f>
        <v>013CTE</v>
      </c>
      <c r="C9" s="288"/>
      <c r="D9" s="289"/>
      <c r="E9" s="288"/>
      <c r="F9" s="289"/>
      <c r="G9" s="288"/>
      <c r="H9" s="290"/>
      <c r="I9" s="438"/>
      <c r="J9" s="290">
        <v>1</v>
      </c>
      <c r="K9" s="438"/>
      <c r="L9" s="290"/>
      <c r="M9" s="291"/>
      <c r="N9" s="292"/>
      <c r="O9" s="394">
        <f t="shared" si="0"/>
        <v>0</v>
      </c>
      <c r="P9" s="395">
        <f t="shared" si="1"/>
        <v>1</v>
      </c>
      <c r="Q9" s="25">
        <f>'t1'!M9</f>
        <v>1</v>
      </c>
    </row>
    <row r="10" spans="1:17" ht="14.1" customHeight="1" x14ac:dyDescent="0.25">
      <c r="A10" s="126" t="str">
        <f>'t1'!A10</f>
        <v>ASSISTENTE AREA II</v>
      </c>
      <c r="B10" s="190" t="str">
        <f>'t1'!B10</f>
        <v>012117</v>
      </c>
      <c r="C10" s="288"/>
      <c r="D10" s="289"/>
      <c r="E10" s="288">
        <v>2</v>
      </c>
      <c r="F10" s="289">
        <v>7</v>
      </c>
      <c r="G10" s="288"/>
      <c r="H10" s="290"/>
      <c r="I10" s="438">
        <v>2</v>
      </c>
      <c r="J10" s="290">
        <v>2</v>
      </c>
      <c r="K10" s="438"/>
      <c r="L10" s="290"/>
      <c r="M10" s="291"/>
      <c r="N10" s="292"/>
      <c r="O10" s="394">
        <f t="shared" si="0"/>
        <v>4</v>
      </c>
      <c r="P10" s="395">
        <f t="shared" si="1"/>
        <v>9</v>
      </c>
      <c r="Q10" s="25">
        <f>'t1'!M10</f>
        <v>13</v>
      </c>
    </row>
    <row r="11" spans="1:17" ht="14.1" customHeight="1" x14ac:dyDescent="0.25">
      <c r="A11" s="126" t="str">
        <f>'t1'!A11</f>
        <v>COADIUTORE AREA I</v>
      </c>
      <c r="B11" s="190" t="str">
        <f>'t1'!B11</f>
        <v>011121</v>
      </c>
      <c r="C11" s="288">
        <v>1</v>
      </c>
      <c r="D11" s="289">
        <v>5</v>
      </c>
      <c r="E11" s="288"/>
      <c r="F11" s="289">
        <v>8</v>
      </c>
      <c r="G11" s="288"/>
      <c r="H11" s="290"/>
      <c r="I11" s="438"/>
      <c r="J11" s="290"/>
      <c r="K11" s="438"/>
      <c r="L11" s="290"/>
      <c r="M11" s="291"/>
      <c r="N11" s="292"/>
      <c r="O11" s="394">
        <f t="shared" si="0"/>
        <v>1</v>
      </c>
      <c r="P11" s="395">
        <f t="shared" si="1"/>
        <v>13</v>
      </c>
      <c r="Q11" s="25">
        <f>'t1'!M11</f>
        <v>14</v>
      </c>
    </row>
    <row r="12" spans="1:17" ht="14.1" customHeight="1" x14ac:dyDescent="0.25">
      <c r="A12" s="126" t="str">
        <f>'t1'!A12</f>
        <v>PROFESSORI DI PRIMA FASCIA TEMPO DET.ANNUALE</v>
      </c>
      <c r="B12" s="190" t="str">
        <f>'t1'!B12</f>
        <v>018PD1</v>
      </c>
      <c r="C12" s="288"/>
      <c r="D12" s="289"/>
      <c r="E12" s="288">
        <v>6</v>
      </c>
      <c r="F12" s="289">
        <v>2</v>
      </c>
      <c r="G12" s="288"/>
      <c r="H12" s="290"/>
      <c r="I12" s="438">
        <v>8</v>
      </c>
      <c r="J12" s="290">
        <v>5</v>
      </c>
      <c r="K12" s="438"/>
      <c r="L12" s="290"/>
      <c r="M12" s="291"/>
      <c r="N12" s="292"/>
      <c r="O12" s="394">
        <f t="shared" si="0"/>
        <v>14</v>
      </c>
      <c r="P12" s="395">
        <f t="shared" si="1"/>
        <v>7</v>
      </c>
      <c r="Q12" s="25">
        <f>'t1'!M12</f>
        <v>21</v>
      </c>
    </row>
    <row r="13" spans="1:17" ht="14.1" customHeight="1" x14ac:dyDescent="0.25">
      <c r="A13" s="126" t="str">
        <f>'t1'!A13</f>
        <v>DIRETTORE AMMINISTRATIVO TEMPO DET.ANNUALE (EP2)</v>
      </c>
      <c r="B13" s="190" t="str">
        <f>'t1'!B13</f>
        <v>013EP2</v>
      </c>
      <c r="C13" s="288"/>
      <c r="D13" s="289"/>
      <c r="E13" s="288"/>
      <c r="F13" s="289"/>
      <c r="G13" s="288"/>
      <c r="H13" s="290"/>
      <c r="I13" s="438">
        <v>1</v>
      </c>
      <c r="J13" s="290"/>
      <c r="K13" s="438"/>
      <c r="L13" s="290"/>
      <c r="M13" s="291"/>
      <c r="N13" s="292"/>
      <c r="O13" s="394">
        <f t="shared" si="0"/>
        <v>1</v>
      </c>
      <c r="P13" s="395">
        <f t="shared" si="1"/>
        <v>0</v>
      </c>
      <c r="Q13" s="25">
        <f>'t1'!M13</f>
        <v>1</v>
      </c>
    </row>
    <row r="14" spans="1:17" ht="14.1" customHeight="1" x14ac:dyDescent="0.25">
      <c r="A14" s="126" t="str">
        <f>'t1'!A14</f>
        <v>DIRETTORE DELL UFFICIO DI RAGIONERIA TEMPO DET.ANNUALE (EP1)</v>
      </c>
      <c r="B14" s="190" t="str">
        <f>'t1'!B14</f>
        <v>013160</v>
      </c>
      <c r="C14" s="288"/>
      <c r="D14" s="289"/>
      <c r="E14" s="288"/>
      <c r="F14" s="289"/>
      <c r="G14" s="288"/>
      <c r="H14" s="290"/>
      <c r="I14" s="438"/>
      <c r="J14" s="290">
        <v>1</v>
      </c>
      <c r="K14" s="438"/>
      <c r="L14" s="290"/>
      <c r="M14" s="291"/>
      <c r="N14" s="292"/>
      <c r="O14" s="394">
        <f t="shared" si="0"/>
        <v>0</v>
      </c>
      <c r="P14" s="395">
        <f t="shared" si="1"/>
        <v>1</v>
      </c>
      <c r="Q14" s="25">
        <f>'t1'!M14</f>
        <v>1</v>
      </c>
    </row>
    <row r="15" spans="1:17" ht="14.1" customHeight="1" x14ac:dyDescent="0.25">
      <c r="A15" s="126" t="str">
        <f>'t1'!A15</f>
        <v>COLLABORATORE AREA III TEMPO DET. ANNUALE</v>
      </c>
      <c r="B15" s="190" t="str">
        <f>'t1'!B15</f>
        <v>013CDE</v>
      </c>
      <c r="C15" s="288"/>
      <c r="D15" s="289"/>
      <c r="E15" s="288"/>
      <c r="F15" s="289"/>
      <c r="G15" s="288"/>
      <c r="H15" s="290"/>
      <c r="I15" s="438"/>
      <c r="J15" s="290"/>
      <c r="K15" s="438"/>
      <c r="L15" s="290"/>
      <c r="M15" s="291"/>
      <c r="N15" s="292"/>
      <c r="O15" s="394">
        <f t="shared" si="0"/>
        <v>0</v>
      </c>
      <c r="P15" s="395">
        <f t="shared" si="1"/>
        <v>0</v>
      </c>
      <c r="Q15" s="25">
        <f>'t1'!M15</f>
        <v>0</v>
      </c>
    </row>
    <row r="16" spans="1:17" ht="14.1" customHeight="1" x14ac:dyDescent="0.25">
      <c r="A16" s="126" t="str">
        <f>'t1'!A16</f>
        <v>ASSISTENTE AREA II TEMPO DET. ANNUALE</v>
      </c>
      <c r="B16" s="190" t="str">
        <f>'t1'!B16</f>
        <v>012118</v>
      </c>
      <c r="C16" s="288"/>
      <c r="D16" s="289"/>
      <c r="E16" s="288"/>
      <c r="F16" s="289">
        <v>3</v>
      </c>
      <c r="G16" s="288"/>
      <c r="H16" s="290">
        <v>1</v>
      </c>
      <c r="I16" s="438"/>
      <c r="J16" s="290">
        <v>2</v>
      </c>
      <c r="K16" s="438"/>
      <c r="L16" s="290"/>
      <c r="M16" s="291"/>
      <c r="N16" s="292"/>
      <c r="O16" s="394">
        <f t="shared" si="0"/>
        <v>0</v>
      </c>
      <c r="P16" s="395">
        <f t="shared" si="1"/>
        <v>6</v>
      </c>
      <c r="Q16" s="25">
        <f>'t1'!M16</f>
        <v>6</v>
      </c>
    </row>
    <row r="17" spans="1:20" ht="14.1" customHeight="1" thickBot="1" x14ac:dyDescent="0.3">
      <c r="A17" s="126" t="str">
        <f>'t1'!A17</f>
        <v>COADIUTORE AREA I TEMPO DET.ANNUALE</v>
      </c>
      <c r="B17" s="190" t="str">
        <f>'t1'!B17</f>
        <v>011124</v>
      </c>
      <c r="C17" s="288"/>
      <c r="D17" s="289">
        <v>3</v>
      </c>
      <c r="E17" s="288">
        <v>1</v>
      </c>
      <c r="F17" s="289">
        <v>1</v>
      </c>
      <c r="G17" s="288"/>
      <c r="H17" s="290"/>
      <c r="I17" s="438"/>
      <c r="J17" s="290"/>
      <c r="K17" s="438"/>
      <c r="L17" s="290"/>
      <c r="M17" s="291"/>
      <c r="N17" s="292"/>
      <c r="O17" s="394">
        <f t="shared" si="0"/>
        <v>1</v>
      </c>
      <c r="P17" s="395">
        <f t="shared" si="1"/>
        <v>4</v>
      </c>
      <c r="Q17" s="25">
        <f>'t1'!M17</f>
        <v>5</v>
      </c>
    </row>
    <row r="18" spans="1:20" ht="12" customHeight="1" thickTop="1" thickBot="1" x14ac:dyDescent="0.3">
      <c r="A18" s="31" t="s">
        <v>55</v>
      </c>
      <c r="B18" s="32"/>
      <c r="C18" s="396">
        <f t="shared" ref="C18:P18" si="2">SUM(C6:C17)</f>
        <v>4</v>
      </c>
      <c r="D18" s="397">
        <f t="shared" si="2"/>
        <v>8</v>
      </c>
      <c r="E18" s="396">
        <f t="shared" si="2"/>
        <v>53</v>
      </c>
      <c r="F18" s="397">
        <f t="shared" si="2"/>
        <v>31</v>
      </c>
      <c r="G18" s="396">
        <f t="shared" si="2"/>
        <v>3</v>
      </c>
      <c r="H18" s="397">
        <f t="shared" si="2"/>
        <v>5</v>
      </c>
      <c r="I18" s="439">
        <f t="shared" si="2"/>
        <v>29</v>
      </c>
      <c r="J18" s="397">
        <f t="shared" si="2"/>
        <v>18</v>
      </c>
      <c r="K18" s="439">
        <f t="shared" si="2"/>
        <v>0</v>
      </c>
      <c r="L18" s="397">
        <f t="shared" si="2"/>
        <v>0</v>
      </c>
      <c r="M18" s="440">
        <f t="shared" si="2"/>
        <v>0</v>
      </c>
      <c r="N18" s="397">
        <f t="shared" si="2"/>
        <v>0</v>
      </c>
      <c r="O18" s="396">
        <f t="shared" si="2"/>
        <v>89</v>
      </c>
      <c r="P18" s="397">
        <f t="shared" si="2"/>
        <v>62</v>
      </c>
    </row>
    <row r="19" spans="1:20" ht="18" customHeight="1" x14ac:dyDescent="0.25">
      <c r="A19" s="17"/>
      <c r="B19" s="2"/>
      <c r="C19" s="3"/>
      <c r="D19" s="3"/>
      <c r="E19" s="3"/>
      <c r="F19" s="3"/>
      <c r="G19" s="3"/>
      <c r="H19" s="3"/>
      <c r="I19" s="3"/>
      <c r="J19" s="3"/>
      <c r="K19" s="3"/>
      <c r="L19" s="3"/>
      <c r="M19" s="3"/>
      <c r="N19" s="3"/>
      <c r="O19" s="66"/>
      <c r="P19" s="33"/>
      <c r="R19" s="33"/>
      <c r="S19" s="33"/>
      <c r="T19" s="33"/>
    </row>
    <row r="20" spans="1:20" s="3" customFormat="1" ht="10.199999999999999" x14ac:dyDescent="0.2">
      <c r="A20" s="17"/>
      <c r="B20" s="2"/>
    </row>
  </sheetData>
  <sheetProtection password="DD41" sheet="1" formatColumns="0" selectLockedCells="1"/>
  <mergeCells count="8">
    <mergeCell ref="M3:P3"/>
    <mergeCell ref="A1:N1"/>
    <mergeCell ref="G4:H4"/>
    <mergeCell ref="I4:J4"/>
    <mergeCell ref="M4:N4"/>
    <mergeCell ref="K4:L4"/>
    <mergeCell ref="C4:D4"/>
    <mergeCell ref="E4:F4"/>
  </mergeCells>
  <phoneticPr fontId="30" type="noConversion"/>
  <conditionalFormatting sqref="A6:P17">
    <cfRule type="expression" dxfId="21" priority="1" stopIfTrue="1">
      <formula>$Q6&gt;0</formula>
    </cfRule>
  </conditionalFormatting>
  <printOptions horizontalCentered="1" verticalCentered="1"/>
  <pageMargins left="0" right="0" top="0.19685039370078741" bottom="0.15748031496062992" header="0.19685039370078741" footer="0.15748031496062992"/>
  <pageSetup paperSize="9" scale="7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29"/>
  <dimension ref="A1:AY22"/>
  <sheetViews>
    <sheetView showGridLines="0" zoomScaleNormal="100" workbookViewId="0">
      <pane xSplit="2" ySplit="7" topLeftCell="AA8" activePane="bottomRight" state="frozen"/>
      <selection activeCell="E11" sqref="E11"/>
      <selection pane="topRight" activeCell="E11" sqref="E11"/>
      <selection pane="bottomLeft" activeCell="E11" sqref="E11"/>
      <selection pane="bottomRight" activeCell="AD19" sqref="AD19"/>
    </sheetView>
  </sheetViews>
  <sheetFormatPr defaultColWidth="10.7109375" defaultRowHeight="10.199999999999999" x14ac:dyDescent="0.2"/>
  <cols>
    <col min="1" max="1" width="57.7109375" style="21" customWidth="1"/>
    <col min="2" max="2" width="8.7109375" style="20" customWidth="1"/>
    <col min="3" max="6" width="11.28515625" style="21" hidden="1" customWidth="1"/>
    <col min="7" max="10" width="10.28515625" style="21" hidden="1" customWidth="1"/>
    <col min="11" max="14" width="10.7109375" style="21" hidden="1" customWidth="1"/>
    <col min="15" max="22" width="9.28515625" style="21" hidden="1" customWidth="1"/>
    <col min="23" max="26" width="10.7109375" style="21" hidden="1" customWidth="1"/>
    <col min="27" max="30" width="11.28515625" style="21" customWidth="1"/>
    <col min="31" max="34" width="10.28515625" style="21" customWidth="1"/>
    <col min="35" max="38" width="10.7109375" style="21"/>
    <col min="39" max="46" width="9.28515625" style="21" customWidth="1"/>
    <col min="47" max="48" width="10.7109375" style="21"/>
    <col min="49" max="49" width="0" style="21" hidden="1" customWidth="1"/>
    <col min="50" max="16384" width="10.7109375" style="21"/>
  </cols>
  <sheetData>
    <row r="1" spans="1:51" s="3" customFormat="1" ht="43.5" customHeight="1" x14ac:dyDescent="0.2">
      <c r="A1" s="1097" t="str">
        <f>'t1'!A1</f>
        <v>AFAM - anno 2023</v>
      </c>
      <c r="B1" s="1097"/>
      <c r="C1" s="1097"/>
      <c r="D1" s="1097"/>
      <c r="E1" s="1097"/>
      <c r="F1" s="1097"/>
      <c r="G1" s="1097"/>
      <c r="H1" s="1097"/>
      <c r="I1" s="1097"/>
      <c r="J1" s="1097"/>
      <c r="K1" s="340"/>
      <c r="L1" s="21"/>
      <c r="M1" s="21"/>
      <c r="N1" s="21"/>
      <c r="O1" s="21"/>
      <c r="P1" s="21"/>
      <c r="Q1" s="21"/>
      <c r="R1" s="21"/>
      <c r="S1" s="21"/>
      <c r="T1" s="21"/>
      <c r="U1" s="21"/>
      <c r="V1" s="21"/>
      <c r="W1" s="21"/>
      <c r="X1" s="21"/>
      <c r="Y1" s="21"/>
      <c r="Z1" s="21"/>
      <c r="AI1" s="340"/>
      <c r="AJ1" s="21"/>
      <c r="AK1" s="21"/>
      <c r="AL1" s="21"/>
      <c r="AM1" s="21"/>
      <c r="AN1" s="21"/>
      <c r="AO1" s="21"/>
      <c r="AP1" s="21"/>
      <c r="AQ1" s="21"/>
      <c r="AR1" s="21"/>
      <c r="AS1" s="21"/>
      <c r="AT1" s="21"/>
      <c r="AU1" s="21"/>
      <c r="AV1" s="21"/>
      <c r="AW1" s="21"/>
      <c r="AX1" s="21"/>
      <c r="AY1" s="21"/>
    </row>
    <row r="2" spans="1:51" ht="30" customHeight="1" thickBot="1" x14ac:dyDescent="0.25">
      <c r="A2" s="19"/>
      <c r="G2" s="1129"/>
      <c r="H2" s="1129"/>
      <c r="I2" s="1129"/>
      <c r="J2" s="1129"/>
      <c r="AE2" s="1129"/>
      <c r="AF2" s="1129"/>
      <c r="AG2" s="1129"/>
      <c r="AH2" s="1129"/>
    </row>
    <row r="3" spans="1:51" ht="15.75" customHeight="1" thickBot="1" x14ac:dyDescent="0.25">
      <c r="A3" s="251"/>
      <c r="B3" s="256"/>
      <c r="C3" s="257" t="s">
        <v>214</v>
      </c>
      <c r="D3" s="257"/>
      <c r="E3" s="257"/>
      <c r="F3" s="257"/>
      <c r="G3" s="257"/>
      <c r="H3" s="258"/>
      <c r="I3" s="257"/>
      <c r="J3" s="258"/>
      <c r="K3" s="258"/>
      <c r="L3" s="258"/>
      <c r="M3" s="258"/>
      <c r="N3" s="258"/>
      <c r="O3" s="258"/>
      <c r="P3" s="258"/>
      <c r="Q3" s="258"/>
      <c r="R3" s="258"/>
      <c r="S3" s="258"/>
      <c r="T3" s="258"/>
      <c r="U3" s="258"/>
      <c r="V3" s="258"/>
      <c r="W3" s="258"/>
      <c r="X3" s="258"/>
      <c r="AA3" s="257" t="s">
        <v>214</v>
      </c>
      <c r="AB3" s="257"/>
      <c r="AC3" s="257"/>
      <c r="AD3" s="257"/>
      <c r="AE3" s="257"/>
      <c r="AF3" s="258"/>
      <c r="AG3" s="257"/>
      <c r="AH3" s="258"/>
      <c r="AI3" s="258"/>
      <c r="AJ3" s="258"/>
      <c r="AK3" s="258"/>
      <c r="AL3" s="258"/>
      <c r="AM3" s="258"/>
      <c r="AN3" s="258"/>
      <c r="AO3" s="258"/>
      <c r="AP3" s="258"/>
      <c r="AQ3" s="258"/>
      <c r="AR3" s="258"/>
      <c r="AS3" s="258"/>
      <c r="AT3" s="258"/>
      <c r="AU3" s="258"/>
      <c r="AV3" s="258"/>
    </row>
    <row r="4" spans="1:51" ht="37.5" customHeight="1" thickTop="1" x14ac:dyDescent="0.2">
      <c r="A4" s="22" t="s">
        <v>108</v>
      </c>
      <c r="B4" s="23" t="s">
        <v>52</v>
      </c>
      <c r="C4" s="414" t="s">
        <v>57</v>
      </c>
      <c r="D4" s="415"/>
      <c r="E4" s="1173" t="s">
        <v>322</v>
      </c>
      <c r="F4" s="1174"/>
      <c r="G4" s="1170" t="s">
        <v>344</v>
      </c>
      <c r="H4" s="1159"/>
      <c r="I4" s="1170" t="s">
        <v>321</v>
      </c>
      <c r="J4" s="1159"/>
      <c r="K4" s="1167" t="s">
        <v>320</v>
      </c>
      <c r="L4" s="1159"/>
      <c r="M4" s="1170" t="s">
        <v>319</v>
      </c>
      <c r="N4" s="1159"/>
      <c r="O4" s="1170" t="s">
        <v>295</v>
      </c>
      <c r="P4" s="1159"/>
      <c r="Q4" s="1170" t="s">
        <v>149</v>
      </c>
      <c r="R4" s="1159"/>
      <c r="S4" s="1170" t="s">
        <v>50</v>
      </c>
      <c r="T4" s="1159"/>
      <c r="U4" s="1167" t="s">
        <v>657</v>
      </c>
      <c r="V4" s="1159"/>
      <c r="W4" s="339" t="s">
        <v>55</v>
      </c>
      <c r="X4" s="338"/>
      <c r="AA4" s="414" t="s">
        <v>57</v>
      </c>
      <c r="AB4" s="415"/>
      <c r="AC4" s="1173" t="s">
        <v>322</v>
      </c>
      <c r="AD4" s="1174"/>
      <c r="AE4" s="1170" t="s">
        <v>344</v>
      </c>
      <c r="AF4" s="1159"/>
      <c r="AG4" s="1170" t="s">
        <v>321</v>
      </c>
      <c r="AH4" s="1159"/>
      <c r="AI4" s="1167" t="s">
        <v>320</v>
      </c>
      <c r="AJ4" s="1159"/>
      <c r="AK4" s="1170" t="s">
        <v>319</v>
      </c>
      <c r="AL4" s="1159"/>
      <c r="AM4" s="1170" t="s">
        <v>295</v>
      </c>
      <c r="AN4" s="1159"/>
      <c r="AO4" s="1170" t="s">
        <v>149</v>
      </c>
      <c r="AP4" s="1159"/>
      <c r="AQ4" s="1170" t="s">
        <v>50</v>
      </c>
      <c r="AR4" s="1159"/>
      <c r="AS4" s="1167" t="s">
        <v>657</v>
      </c>
      <c r="AT4" s="1159"/>
      <c r="AU4" s="339" t="s">
        <v>55</v>
      </c>
      <c r="AV4" s="338"/>
    </row>
    <row r="5" spans="1:51" x14ac:dyDescent="0.2">
      <c r="A5" s="22"/>
      <c r="B5" s="23"/>
      <c r="C5" s="1171" t="s">
        <v>245</v>
      </c>
      <c r="D5" s="1172"/>
      <c r="E5" s="1171" t="s">
        <v>323</v>
      </c>
      <c r="F5" s="1172"/>
      <c r="G5" s="1171" t="s">
        <v>343</v>
      </c>
      <c r="H5" s="1172"/>
      <c r="I5" s="1171" t="s">
        <v>324</v>
      </c>
      <c r="J5" s="1172"/>
      <c r="K5" s="1171" t="s">
        <v>325</v>
      </c>
      <c r="L5" s="1172"/>
      <c r="M5" s="1168" t="s">
        <v>326</v>
      </c>
      <c r="N5" s="1169"/>
      <c r="O5" s="1168" t="s">
        <v>246</v>
      </c>
      <c r="P5" s="1169"/>
      <c r="Q5" s="1168" t="s">
        <v>247</v>
      </c>
      <c r="R5" s="1169"/>
      <c r="S5" s="1168" t="s">
        <v>269</v>
      </c>
      <c r="T5" s="1169"/>
      <c r="U5" s="1168" t="s">
        <v>656</v>
      </c>
      <c r="V5" s="1169"/>
      <c r="W5" s="341"/>
      <c r="X5" s="401"/>
      <c r="AA5" s="1171" t="s">
        <v>245</v>
      </c>
      <c r="AB5" s="1172"/>
      <c r="AC5" s="1171" t="s">
        <v>323</v>
      </c>
      <c r="AD5" s="1172"/>
      <c r="AE5" s="1171" t="s">
        <v>343</v>
      </c>
      <c r="AF5" s="1172"/>
      <c r="AG5" s="1171" t="s">
        <v>324</v>
      </c>
      <c r="AH5" s="1172"/>
      <c r="AI5" s="1171" t="s">
        <v>325</v>
      </c>
      <c r="AJ5" s="1172"/>
      <c r="AK5" s="1168" t="s">
        <v>326</v>
      </c>
      <c r="AL5" s="1169"/>
      <c r="AM5" s="1168" t="s">
        <v>246</v>
      </c>
      <c r="AN5" s="1169"/>
      <c r="AO5" s="1168" t="s">
        <v>247</v>
      </c>
      <c r="AP5" s="1169"/>
      <c r="AQ5" s="1168" t="s">
        <v>269</v>
      </c>
      <c r="AR5" s="1169"/>
      <c r="AS5" s="1168" t="s">
        <v>656</v>
      </c>
      <c r="AT5" s="1169"/>
      <c r="AU5" s="341"/>
      <c r="AV5" s="401"/>
    </row>
    <row r="6" spans="1:51" ht="12" customHeight="1" x14ac:dyDescent="0.2">
      <c r="A6" s="685" t="s">
        <v>518</v>
      </c>
      <c r="B6" s="23"/>
      <c r="C6" s="233" t="s">
        <v>53</v>
      </c>
      <c r="D6" s="342" t="s">
        <v>54</v>
      </c>
      <c r="E6" s="233" t="s">
        <v>53</v>
      </c>
      <c r="F6" s="342" t="s">
        <v>54</v>
      </c>
      <c r="G6" s="233" t="s">
        <v>53</v>
      </c>
      <c r="H6" s="342" t="s">
        <v>54</v>
      </c>
      <c r="I6" s="233" t="s">
        <v>53</v>
      </c>
      <c r="J6" s="342" t="s">
        <v>54</v>
      </c>
      <c r="K6" s="233" t="s">
        <v>53</v>
      </c>
      <c r="L6" s="342" t="s">
        <v>54</v>
      </c>
      <c r="M6" s="233" t="s">
        <v>53</v>
      </c>
      <c r="N6" s="342" t="s">
        <v>54</v>
      </c>
      <c r="O6" s="233" t="s">
        <v>53</v>
      </c>
      <c r="P6" s="509" t="s">
        <v>54</v>
      </c>
      <c r="Q6" s="233" t="s">
        <v>53</v>
      </c>
      <c r="R6" s="509" t="s">
        <v>54</v>
      </c>
      <c r="S6" s="233" t="s">
        <v>53</v>
      </c>
      <c r="T6" s="505" t="s">
        <v>54</v>
      </c>
      <c r="U6" s="233" t="s">
        <v>53</v>
      </c>
      <c r="V6" s="505" t="s">
        <v>54</v>
      </c>
      <c r="W6" s="233" t="s">
        <v>53</v>
      </c>
      <c r="X6" s="342" t="s">
        <v>54</v>
      </c>
      <c r="AA6" s="233" t="s">
        <v>53</v>
      </c>
      <c r="AB6" s="342" t="s">
        <v>54</v>
      </c>
      <c r="AC6" s="233" t="s">
        <v>53</v>
      </c>
      <c r="AD6" s="342" t="s">
        <v>54</v>
      </c>
      <c r="AE6" s="233" t="s">
        <v>53</v>
      </c>
      <c r="AF6" s="342" t="s">
        <v>54</v>
      </c>
      <c r="AG6" s="233" t="s">
        <v>53</v>
      </c>
      <c r="AH6" s="342" t="s">
        <v>54</v>
      </c>
      <c r="AI6" s="233" t="s">
        <v>53</v>
      </c>
      <c r="AJ6" s="342" t="s">
        <v>54</v>
      </c>
      <c r="AK6" s="233" t="s">
        <v>53</v>
      </c>
      <c r="AL6" s="342" t="s">
        <v>54</v>
      </c>
      <c r="AM6" s="233" t="s">
        <v>53</v>
      </c>
      <c r="AN6" s="509" t="s">
        <v>54</v>
      </c>
      <c r="AO6" s="233" t="s">
        <v>53</v>
      </c>
      <c r="AP6" s="509" t="s">
        <v>54</v>
      </c>
      <c r="AQ6" s="233" t="s">
        <v>53</v>
      </c>
      <c r="AR6" s="505" t="s">
        <v>54</v>
      </c>
      <c r="AS6" s="233" t="s">
        <v>53</v>
      </c>
      <c r="AT6" s="505" t="s">
        <v>54</v>
      </c>
      <c r="AU6" s="233" t="s">
        <v>53</v>
      </c>
      <c r="AV6" s="342" t="s">
        <v>54</v>
      </c>
    </row>
    <row r="7" spans="1:51" s="244" customFormat="1" ht="8.4" thickBot="1" x14ac:dyDescent="0.2">
      <c r="A7" s="684"/>
      <c r="B7" s="243"/>
      <c r="C7" s="242" t="s">
        <v>58</v>
      </c>
      <c r="D7" s="243" t="s">
        <v>58</v>
      </c>
      <c r="E7" s="242" t="s">
        <v>58</v>
      </c>
      <c r="F7" s="243" t="s">
        <v>58</v>
      </c>
      <c r="G7" s="242" t="s">
        <v>58</v>
      </c>
      <c r="H7" s="243" t="s">
        <v>58</v>
      </c>
      <c r="I7" s="242" t="s">
        <v>58</v>
      </c>
      <c r="J7" s="243" t="s">
        <v>58</v>
      </c>
      <c r="K7" s="242" t="s">
        <v>58</v>
      </c>
      <c r="L7" s="243" t="s">
        <v>58</v>
      </c>
      <c r="M7" s="242" t="s">
        <v>58</v>
      </c>
      <c r="N7" s="243" t="s">
        <v>58</v>
      </c>
      <c r="O7" s="242" t="s">
        <v>58</v>
      </c>
      <c r="P7" s="510" t="s">
        <v>58</v>
      </c>
      <c r="Q7" s="242" t="s">
        <v>58</v>
      </c>
      <c r="R7" s="510" t="s">
        <v>58</v>
      </c>
      <c r="S7" s="242" t="s">
        <v>58</v>
      </c>
      <c r="T7" s="510" t="s">
        <v>58</v>
      </c>
      <c r="U7" s="242" t="s">
        <v>58</v>
      </c>
      <c r="V7" s="510" t="s">
        <v>58</v>
      </c>
      <c r="W7" s="515" t="s">
        <v>58</v>
      </c>
      <c r="X7" s="451" t="s">
        <v>58</v>
      </c>
      <c r="AA7" s="242" t="s">
        <v>58</v>
      </c>
      <c r="AB7" s="243" t="s">
        <v>58</v>
      </c>
      <c r="AC7" s="242" t="s">
        <v>58</v>
      </c>
      <c r="AD7" s="243" t="s">
        <v>58</v>
      </c>
      <c r="AE7" s="242" t="s">
        <v>58</v>
      </c>
      <c r="AF7" s="243" t="s">
        <v>58</v>
      </c>
      <c r="AG7" s="242" t="s">
        <v>58</v>
      </c>
      <c r="AH7" s="243" t="s">
        <v>58</v>
      </c>
      <c r="AI7" s="242" t="s">
        <v>58</v>
      </c>
      <c r="AJ7" s="243" t="s">
        <v>58</v>
      </c>
      <c r="AK7" s="242" t="s">
        <v>58</v>
      </c>
      <c r="AL7" s="243" t="s">
        <v>58</v>
      </c>
      <c r="AM7" s="242" t="s">
        <v>58</v>
      </c>
      <c r="AN7" s="510" t="s">
        <v>58</v>
      </c>
      <c r="AO7" s="242" t="s">
        <v>58</v>
      </c>
      <c r="AP7" s="510" t="s">
        <v>58</v>
      </c>
      <c r="AQ7" s="242" t="s">
        <v>58</v>
      </c>
      <c r="AR7" s="510" t="s">
        <v>58</v>
      </c>
      <c r="AS7" s="242" t="s">
        <v>58</v>
      </c>
      <c r="AT7" s="510" t="s">
        <v>58</v>
      </c>
      <c r="AU7" s="515" t="s">
        <v>58</v>
      </c>
      <c r="AV7" s="451" t="s">
        <v>58</v>
      </c>
    </row>
    <row r="8" spans="1:51" ht="13.2" customHeight="1" thickTop="1" x14ac:dyDescent="0.2">
      <c r="A8" s="16" t="str">
        <f>'t1'!A6</f>
        <v>PROFESSORI DI PRIMA FASCIA</v>
      </c>
      <c r="B8" s="197" t="str">
        <f>'t1'!B6</f>
        <v>018P01</v>
      </c>
      <c r="C8" s="700">
        <f>ROUND(AA8,0)</f>
        <v>684</v>
      </c>
      <c r="D8" s="701">
        <f t="shared" ref="D8:D19" si="0">ROUND(AB8,0)</f>
        <v>180</v>
      </c>
      <c r="E8" s="700">
        <f t="shared" ref="E8:E19" si="1">ROUND(AC8,0)</f>
        <v>30</v>
      </c>
      <c r="F8" s="701">
        <f t="shared" ref="F8:F19" si="2">ROUND(AD8,0)</f>
        <v>25</v>
      </c>
      <c r="G8" s="700">
        <f t="shared" ref="G8:G19" si="3">ROUND(AE8,0)</f>
        <v>0</v>
      </c>
      <c r="H8" s="701">
        <f t="shared" ref="H8:H19" si="4">ROUND(AF8,0)</f>
        <v>0</v>
      </c>
      <c r="I8" s="700">
        <f t="shared" ref="I8:I19" si="5">ROUND(AG8,0)</f>
        <v>13</v>
      </c>
      <c r="J8" s="701">
        <f t="shared" ref="J8:J19" si="6">ROUND(AH8,0)</f>
        <v>0</v>
      </c>
      <c r="K8" s="700">
        <f t="shared" ref="K8:K19" si="7">ROUND(AI8,0)</f>
        <v>0</v>
      </c>
      <c r="L8" s="701">
        <f t="shared" ref="L8:L19" si="8">ROUND(AJ8,0)</f>
        <v>0</v>
      </c>
      <c r="M8" s="700">
        <f t="shared" ref="M8:M19" si="9">ROUND(AK8,0)</f>
        <v>6</v>
      </c>
      <c r="N8" s="701">
        <f t="shared" ref="N8:N19" si="10">ROUND(AL8,0)</f>
        <v>6</v>
      </c>
      <c r="O8" s="702">
        <f t="shared" ref="O8:O19" si="11">ROUND(AM8,0)</f>
        <v>0</v>
      </c>
      <c r="P8" s="703">
        <f t="shared" ref="P8:P19" si="12">ROUND(AN8,0)</f>
        <v>0</v>
      </c>
      <c r="Q8" s="702">
        <f t="shared" ref="Q8:Q19" si="13">ROUND(AO8,0)</f>
        <v>0</v>
      </c>
      <c r="R8" s="703">
        <f t="shared" ref="R8:R19" si="14">ROUND(AP8,0)</f>
        <v>0</v>
      </c>
      <c r="S8" s="702">
        <f t="shared" ref="S8:S19" si="15">ROUND(AQ8,0)</f>
        <v>0</v>
      </c>
      <c r="T8" s="704">
        <f t="shared" ref="T8:T19" si="16">ROUND(AR8,0)</f>
        <v>0</v>
      </c>
      <c r="U8" s="702">
        <f t="shared" ref="U8:U19" si="17">ROUND(AS8,0)</f>
        <v>0</v>
      </c>
      <c r="V8" s="704">
        <f t="shared" ref="V8:V19" si="18">ROUND(AT8,0)</f>
        <v>0</v>
      </c>
      <c r="W8" s="516">
        <f t="shared" ref="W8:W19" si="19">ROUND(AU8,0)</f>
        <v>733</v>
      </c>
      <c r="X8" s="517">
        <f t="shared" ref="X8:X19" si="20">ROUND(AV8,0)</f>
        <v>211</v>
      </c>
      <c r="Y8" s="21">
        <f>'t1'!M6</f>
        <v>89</v>
      </c>
      <c r="AA8" s="229">
        <v>684</v>
      </c>
      <c r="AB8" s="230">
        <v>180</v>
      </c>
      <c r="AC8" s="229">
        <v>30</v>
      </c>
      <c r="AD8" s="230">
        <v>25</v>
      </c>
      <c r="AE8" s="229"/>
      <c r="AF8" s="230"/>
      <c r="AG8" s="229">
        <v>13</v>
      </c>
      <c r="AH8" s="230"/>
      <c r="AI8" s="229"/>
      <c r="AJ8" s="230"/>
      <c r="AK8" s="229">
        <v>6</v>
      </c>
      <c r="AL8" s="230">
        <v>6</v>
      </c>
      <c r="AM8" s="514"/>
      <c r="AN8" s="511"/>
      <c r="AO8" s="514"/>
      <c r="AP8" s="511"/>
      <c r="AQ8" s="514"/>
      <c r="AR8" s="506"/>
      <c r="AS8" s="514"/>
      <c r="AT8" s="506"/>
      <c r="AU8" s="516">
        <f>SUM(AA8,AC8,AE8,AG8,AI8,AK8,AM8,AO8,AQ8,AS8)</f>
        <v>733</v>
      </c>
      <c r="AV8" s="517">
        <f>SUM(AB8,AD8,AF8,AH8,AJ8,AL8,AN8,AP8,AR8,AT8)</f>
        <v>211</v>
      </c>
      <c r="AW8" s="21">
        <f>'t1'!AQ6</f>
        <v>0</v>
      </c>
    </row>
    <row r="9" spans="1:51" ht="13.2" customHeight="1" x14ac:dyDescent="0.2">
      <c r="A9" s="126" t="str">
        <f>'t1'!A7</f>
        <v>DIRETTORE AMMINISTRATIVO EP2</v>
      </c>
      <c r="B9" s="190" t="str">
        <f>'t1'!B7</f>
        <v>013504</v>
      </c>
      <c r="C9" s="705">
        <f t="shared" ref="C9:C19" si="21">ROUND(AA9,0)</f>
        <v>0</v>
      </c>
      <c r="D9" s="706">
        <f t="shared" si="0"/>
        <v>0</v>
      </c>
      <c r="E9" s="705">
        <f t="shared" si="1"/>
        <v>0</v>
      </c>
      <c r="F9" s="706">
        <f t="shared" si="2"/>
        <v>0</v>
      </c>
      <c r="G9" s="705">
        <f t="shared" si="3"/>
        <v>0</v>
      </c>
      <c r="H9" s="706">
        <f t="shared" si="4"/>
        <v>0</v>
      </c>
      <c r="I9" s="705">
        <f t="shared" si="5"/>
        <v>0</v>
      </c>
      <c r="J9" s="706">
        <f t="shared" si="6"/>
        <v>0</v>
      </c>
      <c r="K9" s="705">
        <f t="shared" si="7"/>
        <v>0</v>
      </c>
      <c r="L9" s="706">
        <f t="shared" si="8"/>
        <v>0</v>
      </c>
      <c r="M9" s="705">
        <f t="shared" si="9"/>
        <v>0</v>
      </c>
      <c r="N9" s="706">
        <f t="shared" si="10"/>
        <v>0</v>
      </c>
      <c r="O9" s="705">
        <f t="shared" si="11"/>
        <v>0</v>
      </c>
      <c r="P9" s="707">
        <f t="shared" si="12"/>
        <v>0</v>
      </c>
      <c r="Q9" s="705">
        <f t="shared" si="13"/>
        <v>0</v>
      </c>
      <c r="R9" s="707">
        <f t="shared" si="14"/>
        <v>0</v>
      </c>
      <c r="S9" s="705">
        <f t="shared" si="15"/>
        <v>0</v>
      </c>
      <c r="T9" s="708">
        <f t="shared" si="16"/>
        <v>0</v>
      </c>
      <c r="U9" s="705">
        <f t="shared" si="17"/>
        <v>0</v>
      </c>
      <c r="V9" s="708">
        <f t="shared" si="18"/>
        <v>0</v>
      </c>
      <c r="W9" s="450">
        <f t="shared" si="19"/>
        <v>0</v>
      </c>
      <c r="X9" s="452">
        <f t="shared" si="20"/>
        <v>0</v>
      </c>
      <c r="Y9" s="21">
        <f>'t1'!M7</f>
        <v>0</v>
      </c>
      <c r="AA9" s="231"/>
      <c r="AB9" s="232"/>
      <c r="AC9" s="231"/>
      <c r="AD9" s="232"/>
      <c r="AE9" s="231"/>
      <c r="AF9" s="232"/>
      <c r="AG9" s="231"/>
      <c r="AH9" s="232"/>
      <c r="AI9" s="231"/>
      <c r="AJ9" s="232"/>
      <c r="AK9" s="231"/>
      <c r="AL9" s="232"/>
      <c r="AM9" s="231"/>
      <c r="AN9" s="512"/>
      <c r="AO9" s="231"/>
      <c r="AP9" s="512"/>
      <c r="AQ9" s="231"/>
      <c r="AR9" s="507"/>
      <c r="AS9" s="231"/>
      <c r="AT9" s="507"/>
      <c r="AU9" s="450">
        <f t="shared" ref="AU9:AU19" si="22">SUM(AA9,AC9,AE9,AG9,AI9,AK9,AM9,AO9,AQ9,AS9)</f>
        <v>0</v>
      </c>
      <c r="AV9" s="452">
        <f t="shared" ref="AV9:AV19" si="23">SUM(AB9,AD9,AF9,AH9,AJ9,AL9,AN9,AP9,AR9,AT9)</f>
        <v>0</v>
      </c>
      <c r="AW9" s="21">
        <f>'t1'!AQ7</f>
        <v>0</v>
      </c>
    </row>
    <row r="10" spans="1:51" ht="13.2" customHeight="1" x14ac:dyDescent="0.2">
      <c r="A10" s="126" t="str">
        <f>'t1'!A8</f>
        <v>DIRETTORE DELL UFFICIO DI RAGIONERIA (EP1)</v>
      </c>
      <c r="B10" s="190" t="str">
        <f>'t1'!B8</f>
        <v>013159</v>
      </c>
      <c r="C10" s="705">
        <f t="shared" si="21"/>
        <v>0</v>
      </c>
      <c r="D10" s="706">
        <f t="shared" si="0"/>
        <v>0</v>
      </c>
      <c r="E10" s="705">
        <f t="shared" si="1"/>
        <v>0</v>
      </c>
      <c r="F10" s="706">
        <f t="shared" si="2"/>
        <v>0</v>
      </c>
      <c r="G10" s="705">
        <f t="shared" si="3"/>
        <v>0</v>
      </c>
      <c r="H10" s="706">
        <f t="shared" si="4"/>
        <v>0</v>
      </c>
      <c r="I10" s="705">
        <f t="shared" si="5"/>
        <v>0</v>
      </c>
      <c r="J10" s="706">
        <f t="shared" si="6"/>
        <v>0</v>
      </c>
      <c r="K10" s="705">
        <f t="shared" si="7"/>
        <v>0</v>
      </c>
      <c r="L10" s="706">
        <f t="shared" si="8"/>
        <v>0</v>
      </c>
      <c r="M10" s="705">
        <f t="shared" si="9"/>
        <v>0</v>
      </c>
      <c r="N10" s="706">
        <f t="shared" si="10"/>
        <v>0</v>
      </c>
      <c r="O10" s="705">
        <f t="shared" si="11"/>
        <v>0</v>
      </c>
      <c r="P10" s="707">
        <f t="shared" si="12"/>
        <v>0</v>
      </c>
      <c r="Q10" s="705">
        <f t="shared" si="13"/>
        <v>0</v>
      </c>
      <c r="R10" s="707">
        <f t="shared" si="14"/>
        <v>0</v>
      </c>
      <c r="S10" s="705">
        <f t="shared" si="15"/>
        <v>0</v>
      </c>
      <c r="T10" s="708">
        <f t="shared" si="16"/>
        <v>0</v>
      </c>
      <c r="U10" s="705">
        <f t="shared" si="17"/>
        <v>0</v>
      </c>
      <c r="V10" s="708">
        <f t="shared" si="18"/>
        <v>0</v>
      </c>
      <c r="W10" s="450">
        <f t="shared" si="19"/>
        <v>0</v>
      </c>
      <c r="X10" s="452">
        <f t="shared" si="20"/>
        <v>0</v>
      </c>
      <c r="Y10" s="21">
        <f>'t1'!M8</f>
        <v>0</v>
      </c>
      <c r="AA10" s="231"/>
      <c r="AB10" s="232"/>
      <c r="AC10" s="231"/>
      <c r="AD10" s="232"/>
      <c r="AE10" s="231"/>
      <c r="AF10" s="232"/>
      <c r="AG10" s="231"/>
      <c r="AH10" s="232"/>
      <c r="AI10" s="231"/>
      <c r="AJ10" s="232"/>
      <c r="AK10" s="231"/>
      <c r="AL10" s="232"/>
      <c r="AM10" s="231"/>
      <c r="AN10" s="512"/>
      <c r="AO10" s="231"/>
      <c r="AP10" s="512"/>
      <c r="AQ10" s="231"/>
      <c r="AR10" s="507"/>
      <c r="AS10" s="231"/>
      <c r="AT10" s="507"/>
      <c r="AU10" s="450">
        <f t="shared" si="22"/>
        <v>0</v>
      </c>
      <c r="AV10" s="452">
        <f t="shared" si="23"/>
        <v>0</v>
      </c>
      <c r="AW10" s="21">
        <f>'t1'!AQ8</f>
        <v>0</v>
      </c>
    </row>
    <row r="11" spans="1:51" ht="13.2" customHeight="1" x14ac:dyDescent="0.2">
      <c r="A11" s="126" t="str">
        <f>'t1'!A9</f>
        <v>COLLABORATORE AREA III</v>
      </c>
      <c r="B11" s="190" t="str">
        <f>'t1'!B9</f>
        <v>013CTE</v>
      </c>
      <c r="C11" s="705">
        <f t="shared" si="21"/>
        <v>0</v>
      </c>
      <c r="D11" s="706">
        <f t="shared" si="0"/>
        <v>28</v>
      </c>
      <c r="E11" s="705">
        <f t="shared" si="1"/>
        <v>0</v>
      </c>
      <c r="F11" s="706">
        <f t="shared" si="2"/>
        <v>8</v>
      </c>
      <c r="G11" s="705">
        <f t="shared" si="3"/>
        <v>0</v>
      </c>
      <c r="H11" s="706">
        <f t="shared" si="4"/>
        <v>0</v>
      </c>
      <c r="I11" s="705">
        <f t="shared" si="5"/>
        <v>0</v>
      </c>
      <c r="J11" s="706">
        <f t="shared" si="6"/>
        <v>0</v>
      </c>
      <c r="K11" s="705">
        <f t="shared" si="7"/>
        <v>0</v>
      </c>
      <c r="L11" s="706">
        <f t="shared" si="8"/>
        <v>0</v>
      </c>
      <c r="M11" s="705">
        <f t="shared" si="9"/>
        <v>0</v>
      </c>
      <c r="N11" s="706">
        <f t="shared" si="10"/>
        <v>0</v>
      </c>
      <c r="O11" s="705">
        <f t="shared" si="11"/>
        <v>0</v>
      </c>
      <c r="P11" s="707">
        <f t="shared" si="12"/>
        <v>0</v>
      </c>
      <c r="Q11" s="705">
        <f t="shared" si="13"/>
        <v>0</v>
      </c>
      <c r="R11" s="707">
        <f t="shared" si="14"/>
        <v>0</v>
      </c>
      <c r="S11" s="705">
        <f t="shared" si="15"/>
        <v>0</v>
      </c>
      <c r="T11" s="708">
        <f t="shared" si="16"/>
        <v>0</v>
      </c>
      <c r="U11" s="705">
        <f t="shared" si="17"/>
        <v>0</v>
      </c>
      <c r="V11" s="708">
        <f t="shared" si="18"/>
        <v>0</v>
      </c>
      <c r="W11" s="450">
        <f t="shared" si="19"/>
        <v>0</v>
      </c>
      <c r="X11" s="452">
        <f t="shared" si="20"/>
        <v>36</v>
      </c>
      <c r="Y11" s="21">
        <f>'t1'!M9</f>
        <v>1</v>
      </c>
      <c r="AA11" s="231"/>
      <c r="AB11" s="232">
        <v>28</v>
      </c>
      <c r="AC11" s="231"/>
      <c r="AD11" s="232">
        <v>8</v>
      </c>
      <c r="AE11" s="231"/>
      <c r="AF11" s="232"/>
      <c r="AG11" s="231"/>
      <c r="AH11" s="232"/>
      <c r="AI11" s="231"/>
      <c r="AJ11" s="232"/>
      <c r="AK11" s="231"/>
      <c r="AL11" s="232"/>
      <c r="AM11" s="231"/>
      <c r="AN11" s="512"/>
      <c r="AO11" s="231"/>
      <c r="AP11" s="512"/>
      <c r="AQ11" s="231"/>
      <c r="AR11" s="507"/>
      <c r="AS11" s="231"/>
      <c r="AT11" s="507"/>
      <c r="AU11" s="450">
        <f t="shared" si="22"/>
        <v>0</v>
      </c>
      <c r="AV11" s="452">
        <f t="shared" si="23"/>
        <v>36</v>
      </c>
      <c r="AW11" s="21">
        <f>'t1'!AQ9</f>
        <v>0</v>
      </c>
    </row>
    <row r="12" spans="1:51" ht="13.2" customHeight="1" x14ac:dyDescent="0.2">
      <c r="A12" s="126" t="str">
        <f>'t1'!A10</f>
        <v>ASSISTENTE AREA II</v>
      </c>
      <c r="B12" s="190" t="str">
        <f>'t1'!B10</f>
        <v>012117</v>
      </c>
      <c r="C12" s="705">
        <f t="shared" si="21"/>
        <v>116</v>
      </c>
      <c r="D12" s="706">
        <f t="shared" si="0"/>
        <v>232</v>
      </c>
      <c r="E12" s="705">
        <f t="shared" si="1"/>
        <v>73</v>
      </c>
      <c r="F12" s="706">
        <f t="shared" si="2"/>
        <v>23</v>
      </c>
      <c r="G12" s="705">
        <f t="shared" si="3"/>
        <v>0</v>
      </c>
      <c r="H12" s="706">
        <f t="shared" si="4"/>
        <v>0</v>
      </c>
      <c r="I12" s="705">
        <f t="shared" si="5"/>
        <v>0</v>
      </c>
      <c r="J12" s="706">
        <f t="shared" si="6"/>
        <v>35</v>
      </c>
      <c r="K12" s="705">
        <f t="shared" si="7"/>
        <v>0</v>
      </c>
      <c r="L12" s="706">
        <f t="shared" si="8"/>
        <v>36</v>
      </c>
      <c r="M12" s="705">
        <f t="shared" si="9"/>
        <v>26</v>
      </c>
      <c r="N12" s="706">
        <f t="shared" si="10"/>
        <v>23</v>
      </c>
      <c r="O12" s="705">
        <f t="shared" si="11"/>
        <v>0</v>
      </c>
      <c r="P12" s="707">
        <f t="shared" si="12"/>
        <v>0</v>
      </c>
      <c r="Q12" s="705">
        <f t="shared" si="13"/>
        <v>0</v>
      </c>
      <c r="R12" s="707">
        <f t="shared" si="14"/>
        <v>0</v>
      </c>
      <c r="S12" s="705">
        <f t="shared" si="15"/>
        <v>0</v>
      </c>
      <c r="T12" s="708">
        <f t="shared" si="16"/>
        <v>0</v>
      </c>
      <c r="U12" s="705">
        <f t="shared" si="17"/>
        <v>0</v>
      </c>
      <c r="V12" s="708">
        <f t="shared" si="18"/>
        <v>0</v>
      </c>
      <c r="W12" s="450">
        <f t="shared" si="19"/>
        <v>215</v>
      </c>
      <c r="X12" s="452">
        <f t="shared" si="20"/>
        <v>349</v>
      </c>
      <c r="Y12" s="21">
        <f>'t1'!M10</f>
        <v>13</v>
      </c>
      <c r="AA12" s="231">
        <v>116</v>
      </c>
      <c r="AB12" s="232">
        <v>232</v>
      </c>
      <c r="AC12" s="231">
        <v>73</v>
      </c>
      <c r="AD12" s="232">
        <v>23</v>
      </c>
      <c r="AE12" s="231"/>
      <c r="AF12" s="232"/>
      <c r="AG12" s="231"/>
      <c r="AH12" s="232">
        <v>35</v>
      </c>
      <c r="AI12" s="231"/>
      <c r="AJ12" s="232">
        <v>36</v>
      </c>
      <c r="AK12" s="231">
        <v>26</v>
      </c>
      <c r="AL12" s="232">
        <v>23</v>
      </c>
      <c r="AM12" s="231"/>
      <c r="AN12" s="512"/>
      <c r="AO12" s="231"/>
      <c r="AP12" s="512"/>
      <c r="AQ12" s="231"/>
      <c r="AR12" s="507"/>
      <c r="AS12" s="231"/>
      <c r="AT12" s="507"/>
      <c r="AU12" s="450">
        <f t="shared" si="22"/>
        <v>215</v>
      </c>
      <c r="AV12" s="452">
        <f t="shared" si="23"/>
        <v>349</v>
      </c>
      <c r="AW12" s="21">
        <f>'t1'!AQ10</f>
        <v>0</v>
      </c>
    </row>
    <row r="13" spans="1:51" ht="13.2" customHeight="1" x14ac:dyDescent="0.2">
      <c r="A13" s="126" t="str">
        <f>'t1'!A11</f>
        <v>COADIUTORE AREA I</v>
      </c>
      <c r="B13" s="190" t="str">
        <f>'t1'!B11</f>
        <v>011121</v>
      </c>
      <c r="C13" s="705">
        <f t="shared" si="21"/>
        <v>28</v>
      </c>
      <c r="D13" s="706">
        <f t="shared" si="0"/>
        <v>360</v>
      </c>
      <c r="E13" s="705">
        <f t="shared" si="1"/>
        <v>14</v>
      </c>
      <c r="F13" s="706">
        <f t="shared" si="2"/>
        <v>310</v>
      </c>
      <c r="G13" s="705">
        <f t="shared" si="3"/>
        <v>0</v>
      </c>
      <c r="H13" s="706">
        <f t="shared" si="4"/>
        <v>242</v>
      </c>
      <c r="I13" s="705">
        <f t="shared" si="5"/>
        <v>0</v>
      </c>
      <c r="J13" s="706">
        <f t="shared" si="6"/>
        <v>29</v>
      </c>
      <c r="K13" s="705">
        <f t="shared" si="7"/>
        <v>0</v>
      </c>
      <c r="L13" s="706">
        <f t="shared" si="8"/>
        <v>0</v>
      </c>
      <c r="M13" s="705">
        <f t="shared" si="9"/>
        <v>0</v>
      </c>
      <c r="N13" s="706">
        <f t="shared" si="10"/>
        <v>41</v>
      </c>
      <c r="O13" s="705">
        <f t="shared" si="11"/>
        <v>0</v>
      </c>
      <c r="P13" s="707">
        <f t="shared" si="12"/>
        <v>0</v>
      </c>
      <c r="Q13" s="705">
        <f t="shared" si="13"/>
        <v>0</v>
      </c>
      <c r="R13" s="707">
        <f t="shared" si="14"/>
        <v>0</v>
      </c>
      <c r="S13" s="705">
        <f t="shared" si="15"/>
        <v>0</v>
      </c>
      <c r="T13" s="708">
        <f t="shared" si="16"/>
        <v>0</v>
      </c>
      <c r="U13" s="705">
        <f t="shared" si="17"/>
        <v>0</v>
      </c>
      <c r="V13" s="708">
        <f t="shared" si="18"/>
        <v>0</v>
      </c>
      <c r="W13" s="450">
        <f t="shared" si="19"/>
        <v>42</v>
      </c>
      <c r="X13" s="452">
        <f t="shared" si="20"/>
        <v>982</v>
      </c>
      <c r="Y13" s="21">
        <f>'t1'!M11</f>
        <v>14</v>
      </c>
      <c r="AA13" s="231">
        <v>28</v>
      </c>
      <c r="AB13" s="232">
        <v>360</v>
      </c>
      <c r="AC13" s="231">
        <v>14</v>
      </c>
      <c r="AD13" s="232">
        <v>310</v>
      </c>
      <c r="AE13" s="231"/>
      <c r="AF13" s="232">
        <v>242</v>
      </c>
      <c r="AG13" s="231"/>
      <c r="AH13" s="232">
        <v>29</v>
      </c>
      <c r="AI13" s="231"/>
      <c r="AJ13" s="232"/>
      <c r="AK13" s="231"/>
      <c r="AL13" s="232">
        <v>41</v>
      </c>
      <c r="AM13" s="231"/>
      <c r="AN13" s="512"/>
      <c r="AO13" s="231"/>
      <c r="AP13" s="512"/>
      <c r="AQ13" s="231"/>
      <c r="AR13" s="507"/>
      <c r="AS13" s="231"/>
      <c r="AT13" s="507"/>
      <c r="AU13" s="450">
        <f t="shared" si="22"/>
        <v>42</v>
      </c>
      <c r="AV13" s="452">
        <f t="shared" si="23"/>
        <v>982</v>
      </c>
      <c r="AW13" s="21">
        <f>'t1'!AQ11</f>
        <v>0</v>
      </c>
    </row>
    <row r="14" spans="1:51" ht="13.2" customHeight="1" x14ac:dyDescent="0.2">
      <c r="A14" s="126" t="str">
        <f>'t1'!A12</f>
        <v>PROFESSORI DI PRIMA FASCIA TEMPO DET.ANNUALE</v>
      </c>
      <c r="B14" s="190" t="str">
        <f>'t1'!B12</f>
        <v>018PD1</v>
      </c>
      <c r="C14" s="705">
        <f t="shared" si="21"/>
        <v>238</v>
      </c>
      <c r="D14" s="706">
        <f t="shared" si="0"/>
        <v>102</v>
      </c>
      <c r="E14" s="705">
        <f t="shared" si="1"/>
        <v>15</v>
      </c>
      <c r="F14" s="706">
        <f t="shared" si="2"/>
        <v>12</v>
      </c>
      <c r="G14" s="705">
        <f t="shared" si="3"/>
        <v>0</v>
      </c>
      <c r="H14" s="706">
        <f t="shared" si="4"/>
        <v>0</v>
      </c>
      <c r="I14" s="705">
        <f t="shared" si="5"/>
        <v>0</v>
      </c>
      <c r="J14" s="706">
        <f t="shared" si="6"/>
        <v>0</v>
      </c>
      <c r="K14" s="705">
        <f t="shared" si="7"/>
        <v>0</v>
      </c>
      <c r="L14" s="706">
        <f t="shared" si="8"/>
        <v>0</v>
      </c>
      <c r="M14" s="705">
        <f t="shared" si="9"/>
        <v>2</v>
      </c>
      <c r="N14" s="706">
        <f t="shared" si="10"/>
        <v>0</v>
      </c>
      <c r="O14" s="705">
        <f t="shared" si="11"/>
        <v>0</v>
      </c>
      <c r="P14" s="707">
        <f t="shared" si="12"/>
        <v>0</v>
      </c>
      <c r="Q14" s="705">
        <f t="shared" si="13"/>
        <v>0</v>
      </c>
      <c r="R14" s="707">
        <f t="shared" si="14"/>
        <v>0</v>
      </c>
      <c r="S14" s="705">
        <f t="shared" si="15"/>
        <v>0</v>
      </c>
      <c r="T14" s="708">
        <f t="shared" si="16"/>
        <v>0</v>
      </c>
      <c r="U14" s="705">
        <f t="shared" si="17"/>
        <v>0</v>
      </c>
      <c r="V14" s="708">
        <f t="shared" si="18"/>
        <v>0</v>
      </c>
      <c r="W14" s="450">
        <f t="shared" si="19"/>
        <v>255</v>
      </c>
      <c r="X14" s="452">
        <f t="shared" si="20"/>
        <v>114</v>
      </c>
      <c r="Y14" s="21">
        <f>'t1'!M12</f>
        <v>21</v>
      </c>
      <c r="AA14" s="231">
        <v>238</v>
      </c>
      <c r="AB14" s="232">
        <v>102</v>
      </c>
      <c r="AC14" s="231">
        <v>15</v>
      </c>
      <c r="AD14" s="232">
        <v>12</v>
      </c>
      <c r="AE14" s="231"/>
      <c r="AF14" s="232"/>
      <c r="AG14" s="231"/>
      <c r="AH14" s="232"/>
      <c r="AI14" s="231"/>
      <c r="AJ14" s="232"/>
      <c r="AK14" s="231">
        <v>2</v>
      </c>
      <c r="AL14" s="232"/>
      <c r="AM14" s="231"/>
      <c r="AN14" s="512"/>
      <c r="AO14" s="231"/>
      <c r="AP14" s="512"/>
      <c r="AQ14" s="231"/>
      <c r="AR14" s="507"/>
      <c r="AS14" s="231"/>
      <c r="AT14" s="507"/>
      <c r="AU14" s="450">
        <f t="shared" si="22"/>
        <v>255</v>
      </c>
      <c r="AV14" s="452">
        <f t="shared" si="23"/>
        <v>114</v>
      </c>
      <c r="AW14" s="21">
        <f>'t1'!AQ12</f>
        <v>0</v>
      </c>
    </row>
    <row r="15" spans="1:51" ht="13.2" customHeight="1" x14ac:dyDescent="0.2">
      <c r="A15" s="126" t="str">
        <f>'t1'!A13</f>
        <v>DIRETTORE AMMINISTRATIVO TEMPO DET.ANNUALE (EP2)</v>
      </c>
      <c r="B15" s="190" t="str">
        <f>'t1'!B13</f>
        <v>013EP2</v>
      </c>
      <c r="C15" s="705">
        <f t="shared" si="21"/>
        <v>28</v>
      </c>
      <c r="D15" s="706">
        <f t="shared" si="0"/>
        <v>0</v>
      </c>
      <c r="E15" s="705">
        <f t="shared" si="1"/>
        <v>0</v>
      </c>
      <c r="F15" s="706">
        <f t="shared" si="2"/>
        <v>0</v>
      </c>
      <c r="G15" s="705">
        <f t="shared" si="3"/>
        <v>0</v>
      </c>
      <c r="H15" s="706">
        <f t="shared" si="4"/>
        <v>0</v>
      </c>
      <c r="I15" s="705">
        <f t="shared" si="5"/>
        <v>0</v>
      </c>
      <c r="J15" s="706">
        <f t="shared" si="6"/>
        <v>0</v>
      </c>
      <c r="K15" s="705">
        <f t="shared" si="7"/>
        <v>0</v>
      </c>
      <c r="L15" s="706">
        <f t="shared" si="8"/>
        <v>0</v>
      </c>
      <c r="M15" s="705">
        <f t="shared" si="9"/>
        <v>0</v>
      </c>
      <c r="N15" s="706">
        <f t="shared" si="10"/>
        <v>0</v>
      </c>
      <c r="O15" s="705">
        <f t="shared" si="11"/>
        <v>0</v>
      </c>
      <c r="P15" s="707">
        <f t="shared" si="12"/>
        <v>0</v>
      </c>
      <c r="Q15" s="705">
        <f t="shared" si="13"/>
        <v>0</v>
      </c>
      <c r="R15" s="707">
        <f t="shared" si="14"/>
        <v>0</v>
      </c>
      <c r="S15" s="705">
        <f t="shared" si="15"/>
        <v>0</v>
      </c>
      <c r="T15" s="708">
        <f t="shared" si="16"/>
        <v>0</v>
      </c>
      <c r="U15" s="705">
        <f t="shared" si="17"/>
        <v>0</v>
      </c>
      <c r="V15" s="708">
        <f t="shared" si="18"/>
        <v>0</v>
      </c>
      <c r="W15" s="450">
        <f t="shared" si="19"/>
        <v>28</v>
      </c>
      <c r="X15" s="452">
        <f t="shared" si="20"/>
        <v>0</v>
      </c>
      <c r="Y15" s="21">
        <f>'t1'!M13</f>
        <v>1</v>
      </c>
      <c r="AA15" s="231">
        <v>28</v>
      </c>
      <c r="AB15" s="232"/>
      <c r="AC15" s="231"/>
      <c r="AD15" s="232"/>
      <c r="AE15" s="231"/>
      <c r="AF15" s="232"/>
      <c r="AG15" s="231"/>
      <c r="AH15" s="232"/>
      <c r="AI15" s="231"/>
      <c r="AJ15" s="232"/>
      <c r="AK15" s="231"/>
      <c r="AL15" s="232"/>
      <c r="AM15" s="231"/>
      <c r="AN15" s="512"/>
      <c r="AO15" s="231"/>
      <c r="AP15" s="512"/>
      <c r="AQ15" s="231"/>
      <c r="AR15" s="507"/>
      <c r="AS15" s="231"/>
      <c r="AT15" s="507"/>
      <c r="AU15" s="450">
        <f t="shared" si="22"/>
        <v>28</v>
      </c>
      <c r="AV15" s="452">
        <f t="shared" si="23"/>
        <v>0</v>
      </c>
      <c r="AW15" s="21">
        <f>'t1'!AQ13</f>
        <v>0</v>
      </c>
    </row>
    <row r="16" spans="1:51" ht="13.2" customHeight="1" x14ac:dyDescent="0.2">
      <c r="A16" s="126" t="str">
        <f>'t1'!A14</f>
        <v>DIRETTORE DELL UFFICIO DI RAGIONERIA TEMPO DET.ANNUALE (EP1)</v>
      </c>
      <c r="B16" s="190" t="str">
        <f>'t1'!B14</f>
        <v>013160</v>
      </c>
      <c r="C16" s="705">
        <f t="shared" si="21"/>
        <v>0</v>
      </c>
      <c r="D16" s="706">
        <f t="shared" si="0"/>
        <v>28</v>
      </c>
      <c r="E16" s="705">
        <f t="shared" si="1"/>
        <v>0</v>
      </c>
      <c r="F16" s="706">
        <f t="shared" si="2"/>
        <v>5</v>
      </c>
      <c r="G16" s="705">
        <f t="shared" si="3"/>
        <v>0</v>
      </c>
      <c r="H16" s="706">
        <f t="shared" si="4"/>
        <v>0</v>
      </c>
      <c r="I16" s="705">
        <f t="shared" si="5"/>
        <v>0</v>
      </c>
      <c r="J16" s="706">
        <f t="shared" si="6"/>
        <v>0</v>
      </c>
      <c r="K16" s="705">
        <f t="shared" si="7"/>
        <v>0</v>
      </c>
      <c r="L16" s="706">
        <f t="shared" si="8"/>
        <v>0</v>
      </c>
      <c r="M16" s="705">
        <f t="shared" si="9"/>
        <v>0</v>
      </c>
      <c r="N16" s="706">
        <f t="shared" si="10"/>
        <v>3</v>
      </c>
      <c r="O16" s="705">
        <f t="shared" si="11"/>
        <v>0</v>
      </c>
      <c r="P16" s="707">
        <f t="shared" si="12"/>
        <v>0</v>
      </c>
      <c r="Q16" s="705">
        <f t="shared" si="13"/>
        <v>0</v>
      </c>
      <c r="R16" s="707">
        <f t="shared" si="14"/>
        <v>0</v>
      </c>
      <c r="S16" s="705">
        <f t="shared" si="15"/>
        <v>0</v>
      </c>
      <c r="T16" s="708">
        <f t="shared" si="16"/>
        <v>0</v>
      </c>
      <c r="U16" s="705">
        <f t="shared" si="17"/>
        <v>0</v>
      </c>
      <c r="V16" s="708">
        <f t="shared" si="18"/>
        <v>0</v>
      </c>
      <c r="W16" s="450">
        <f t="shared" si="19"/>
        <v>0</v>
      </c>
      <c r="X16" s="452">
        <f t="shared" si="20"/>
        <v>36</v>
      </c>
      <c r="Y16" s="21">
        <f>'t1'!M14</f>
        <v>1</v>
      </c>
      <c r="AA16" s="231"/>
      <c r="AB16" s="232">
        <v>28</v>
      </c>
      <c r="AC16" s="231"/>
      <c r="AD16" s="232">
        <v>5</v>
      </c>
      <c r="AE16" s="231"/>
      <c r="AF16" s="232"/>
      <c r="AG16" s="231"/>
      <c r="AH16" s="232"/>
      <c r="AI16" s="231"/>
      <c r="AJ16" s="232"/>
      <c r="AK16" s="231"/>
      <c r="AL16" s="232">
        <v>3</v>
      </c>
      <c r="AM16" s="231"/>
      <c r="AN16" s="512"/>
      <c r="AO16" s="231"/>
      <c r="AP16" s="512"/>
      <c r="AQ16" s="231"/>
      <c r="AR16" s="507"/>
      <c r="AS16" s="231"/>
      <c r="AT16" s="507"/>
      <c r="AU16" s="450">
        <f t="shared" si="22"/>
        <v>0</v>
      </c>
      <c r="AV16" s="452">
        <f t="shared" si="23"/>
        <v>36</v>
      </c>
      <c r="AW16" s="21">
        <f>'t1'!AQ14</f>
        <v>0</v>
      </c>
    </row>
    <row r="17" spans="1:49" ht="13.2" customHeight="1" x14ac:dyDescent="0.2">
      <c r="A17" s="126" t="str">
        <f>'t1'!A15</f>
        <v>COLLABORATORE AREA III TEMPO DET. ANNUALE</v>
      </c>
      <c r="B17" s="190" t="str">
        <f>'t1'!B15</f>
        <v>013CDE</v>
      </c>
      <c r="C17" s="705">
        <f t="shared" si="21"/>
        <v>0</v>
      </c>
      <c r="D17" s="706">
        <f t="shared" si="0"/>
        <v>0</v>
      </c>
      <c r="E17" s="705">
        <f t="shared" si="1"/>
        <v>0</v>
      </c>
      <c r="F17" s="706">
        <f t="shared" si="2"/>
        <v>0</v>
      </c>
      <c r="G17" s="705">
        <f t="shared" si="3"/>
        <v>0</v>
      </c>
      <c r="H17" s="706">
        <f t="shared" si="4"/>
        <v>0</v>
      </c>
      <c r="I17" s="705">
        <f t="shared" si="5"/>
        <v>0</v>
      </c>
      <c r="J17" s="706">
        <f t="shared" si="6"/>
        <v>0</v>
      </c>
      <c r="K17" s="705">
        <f t="shared" si="7"/>
        <v>0</v>
      </c>
      <c r="L17" s="706">
        <f t="shared" si="8"/>
        <v>0</v>
      </c>
      <c r="M17" s="705">
        <f t="shared" si="9"/>
        <v>0</v>
      </c>
      <c r="N17" s="706">
        <f t="shared" si="10"/>
        <v>0</v>
      </c>
      <c r="O17" s="705">
        <f t="shared" si="11"/>
        <v>0</v>
      </c>
      <c r="P17" s="707">
        <f t="shared" si="12"/>
        <v>0</v>
      </c>
      <c r="Q17" s="705">
        <f t="shared" si="13"/>
        <v>0</v>
      </c>
      <c r="R17" s="707">
        <f t="shared" si="14"/>
        <v>0</v>
      </c>
      <c r="S17" s="705">
        <f t="shared" si="15"/>
        <v>0</v>
      </c>
      <c r="T17" s="708">
        <f t="shared" si="16"/>
        <v>0</v>
      </c>
      <c r="U17" s="705">
        <f t="shared" si="17"/>
        <v>0</v>
      </c>
      <c r="V17" s="708">
        <f t="shared" si="18"/>
        <v>0</v>
      </c>
      <c r="W17" s="450">
        <f t="shared" si="19"/>
        <v>0</v>
      </c>
      <c r="X17" s="452">
        <f t="shared" si="20"/>
        <v>0</v>
      </c>
      <c r="Y17" s="21">
        <f>'t1'!M15</f>
        <v>0</v>
      </c>
      <c r="AA17" s="231"/>
      <c r="AB17" s="232"/>
      <c r="AC17" s="231"/>
      <c r="AD17" s="232"/>
      <c r="AE17" s="231"/>
      <c r="AF17" s="232"/>
      <c r="AG17" s="231"/>
      <c r="AH17" s="232"/>
      <c r="AI17" s="231"/>
      <c r="AJ17" s="232"/>
      <c r="AK17" s="231"/>
      <c r="AL17" s="232"/>
      <c r="AM17" s="231"/>
      <c r="AN17" s="512"/>
      <c r="AO17" s="231"/>
      <c r="AP17" s="512"/>
      <c r="AQ17" s="231"/>
      <c r="AR17" s="507"/>
      <c r="AS17" s="231"/>
      <c r="AT17" s="507"/>
      <c r="AU17" s="450">
        <f t="shared" si="22"/>
        <v>0</v>
      </c>
      <c r="AV17" s="452">
        <f t="shared" si="23"/>
        <v>0</v>
      </c>
      <c r="AW17" s="21">
        <f>'t1'!AQ15</f>
        <v>0</v>
      </c>
    </row>
    <row r="18" spans="1:49" ht="13.2" customHeight="1" x14ac:dyDescent="0.2">
      <c r="A18" s="126" t="str">
        <f>'t1'!A16</f>
        <v>ASSISTENTE AREA II TEMPO DET. ANNUALE</v>
      </c>
      <c r="B18" s="190" t="str">
        <f>'t1'!B16</f>
        <v>012118</v>
      </c>
      <c r="C18" s="705">
        <f t="shared" si="21"/>
        <v>0</v>
      </c>
      <c r="D18" s="706">
        <f t="shared" si="0"/>
        <v>138</v>
      </c>
      <c r="E18" s="705">
        <f t="shared" si="1"/>
        <v>0</v>
      </c>
      <c r="F18" s="706">
        <f t="shared" si="2"/>
        <v>1</v>
      </c>
      <c r="G18" s="705">
        <f t="shared" si="3"/>
        <v>0</v>
      </c>
      <c r="H18" s="706">
        <f t="shared" si="4"/>
        <v>0</v>
      </c>
      <c r="I18" s="705">
        <f t="shared" si="5"/>
        <v>0</v>
      </c>
      <c r="J18" s="706">
        <f t="shared" si="6"/>
        <v>36</v>
      </c>
      <c r="K18" s="705">
        <f t="shared" si="7"/>
        <v>0</v>
      </c>
      <c r="L18" s="706">
        <f t="shared" si="8"/>
        <v>15</v>
      </c>
      <c r="M18" s="705">
        <f t="shared" si="9"/>
        <v>0</v>
      </c>
      <c r="N18" s="706">
        <f t="shared" si="10"/>
        <v>0</v>
      </c>
      <c r="O18" s="705">
        <f t="shared" si="11"/>
        <v>0</v>
      </c>
      <c r="P18" s="707">
        <f t="shared" si="12"/>
        <v>0</v>
      </c>
      <c r="Q18" s="705">
        <f t="shared" si="13"/>
        <v>0</v>
      </c>
      <c r="R18" s="707">
        <f t="shared" si="14"/>
        <v>0</v>
      </c>
      <c r="S18" s="705">
        <f t="shared" si="15"/>
        <v>0</v>
      </c>
      <c r="T18" s="708">
        <f t="shared" si="16"/>
        <v>0</v>
      </c>
      <c r="U18" s="705">
        <f t="shared" si="17"/>
        <v>0</v>
      </c>
      <c r="V18" s="708">
        <f t="shared" si="18"/>
        <v>0</v>
      </c>
      <c r="W18" s="450">
        <f t="shared" si="19"/>
        <v>0</v>
      </c>
      <c r="X18" s="452">
        <f t="shared" si="20"/>
        <v>190</v>
      </c>
      <c r="Y18" s="21">
        <f>'t1'!M16</f>
        <v>6</v>
      </c>
      <c r="AA18" s="231"/>
      <c r="AB18" s="232">
        <v>138</v>
      </c>
      <c r="AC18" s="231"/>
      <c r="AD18" s="232">
        <v>1</v>
      </c>
      <c r="AE18" s="231"/>
      <c r="AF18" s="232"/>
      <c r="AG18" s="231"/>
      <c r="AH18" s="232">
        <v>36</v>
      </c>
      <c r="AI18" s="231"/>
      <c r="AJ18" s="232">
        <v>15</v>
      </c>
      <c r="AK18" s="231"/>
      <c r="AL18" s="232"/>
      <c r="AM18" s="231"/>
      <c r="AN18" s="512"/>
      <c r="AO18" s="231"/>
      <c r="AP18" s="512"/>
      <c r="AQ18" s="231"/>
      <c r="AR18" s="507"/>
      <c r="AS18" s="231"/>
      <c r="AT18" s="507"/>
      <c r="AU18" s="450">
        <f t="shared" si="22"/>
        <v>0</v>
      </c>
      <c r="AV18" s="452">
        <f t="shared" si="23"/>
        <v>190</v>
      </c>
      <c r="AW18" s="21">
        <f>'t1'!AQ16</f>
        <v>0</v>
      </c>
    </row>
    <row r="19" spans="1:49" ht="13.2" customHeight="1" thickBot="1" x14ac:dyDescent="0.25">
      <c r="A19" s="126" t="str">
        <f>'t1'!A17</f>
        <v>COADIUTORE AREA I TEMPO DET.ANNUALE</v>
      </c>
      <c r="B19" s="190" t="str">
        <f>'t1'!B17</f>
        <v>011124</v>
      </c>
      <c r="C19" s="705">
        <f t="shared" si="21"/>
        <v>28</v>
      </c>
      <c r="D19" s="706">
        <f t="shared" si="0"/>
        <v>146</v>
      </c>
      <c r="E19" s="705">
        <f t="shared" si="1"/>
        <v>7</v>
      </c>
      <c r="F19" s="706">
        <f t="shared" si="2"/>
        <v>40</v>
      </c>
      <c r="G19" s="705">
        <f t="shared" si="3"/>
        <v>0</v>
      </c>
      <c r="H19" s="706">
        <f t="shared" si="4"/>
        <v>0</v>
      </c>
      <c r="I19" s="705">
        <f t="shared" si="5"/>
        <v>14</v>
      </c>
      <c r="J19" s="706">
        <f t="shared" si="6"/>
        <v>29</v>
      </c>
      <c r="K19" s="705">
        <f t="shared" si="7"/>
        <v>0</v>
      </c>
      <c r="L19" s="706">
        <f t="shared" si="8"/>
        <v>0</v>
      </c>
      <c r="M19" s="705">
        <f t="shared" si="9"/>
        <v>0</v>
      </c>
      <c r="N19" s="706">
        <f t="shared" si="10"/>
        <v>169</v>
      </c>
      <c r="O19" s="705">
        <f t="shared" si="11"/>
        <v>0</v>
      </c>
      <c r="P19" s="707">
        <f t="shared" si="12"/>
        <v>0</v>
      </c>
      <c r="Q19" s="705">
        <f t="shared" si="13"/>
        <v>0</v>
      </c>
      <c r="R19" s="707">
        <f t="shared" si="14"/>
        <v>0</v>
      </c>
      <c r="S19" s="705">
        <f t="shared" si="15"/>
        <v>0</v>
      </c>
      <c r="T19" s="708">
        <f t="shared" si="16"/>
        <v>0</v>
      </c>
      <c r="U19" s="705">
        <f t="shared" si="17"/>
        <v>0</v>
      </c>
      <c r="V19" s="708">
        <f t="shared" si="18"/>
        <v>0</v>
      </c>
      <c r="W19" s="450">
        <f t="shared" si="19"/>
        <v>49</v>
      </c>
      <c r="X19" s="452">
        <f t="shared" si="20"/>
        <v>384</v>
      </c>
      <c r="Y19" s="21">
        <f>'t1'!M17</f>
        <v>5</v>
      </c>
      <c r="AA19" s="231">
        <v>28</v>
      </c>
      <c r="AB19" s="232">
        <v>146</v>
      </c>
      <c r="AC19" s="231">
        <v>7</v>
      </c>
      <c r="AD19" s="232">
        <v>40</v>
      </c>
      <c r="AE19" s="231"/>
      <c r="AF19" s="232"/>
      <c r="AG19" s="231">
        <v>14</v>
      </c>
      <c r="AH19" s="232">
        <v>29</v>
      </c>
      <c r="AI19" s="231"/>
      <c r="AJ19" s="232"/>
      <c r="AK19" s="231"/>
      <c r="AL19" s="232">
        <v>169</v>
      </c>
      <c r="AM19" s="231"/>
      <c r="AN19" s="512"/>
      <c r="AO19" s="231"/>
      <c r="AP19" s="512"/>
      <c r="AQ19" s="231"/>
      <c r="AR19" s="507"/>
      <c r="AS19" s="231"/>
      <c r="AT19" s="507"/>
      <c r="AU19" s="450">
        <f t="shared" si="22"/>
        <v>49</v>
      </c>
      <c r="AV19" s="452">
        <f t="shared" si="23"/>
        <v>384</v>
      </c>
      <c r="AW19" s="21">
        <f>'t1'!AQ17</f>
        <v>0</v>
      </c>
    </row>
    <row r="20" spans="1:49" ht="13.2" customHeight="1" thickTop="1" thickBot="1" x14ac:dyDescent="0.25">
      <c r="A20" s="24" t="s">
        <v>55</v>
      </c>
      <c r="B20" s="536"/>
      <c r="C20" s="398">
        <f t="shared" ref="C20:X20" si="24">SUM(C8:C19)</f>
        <v>1122</v>
      </c>
      <c r="D20" s="399">
        <f t="shared" si="24"/>
        <v>1214</v>
      </c>
      <c r="E20" s="398">
        <f t="shared" si="24"/>
        <v>139</v>
      </c>
      <c r="F20" s="399">
        <f t="shared" si="24"/>
        <v>424</v>
      </c>
      <c r="G20" s="398">
        <f t="shared" si="24"/>
        <v>0</v>
      </c>
      <c r="H20" s="399">
        <f t="shared" si="24"/>
        <v>242</v>
      </c>
      <c r="I20" s="398">
        <f t="shared" si="24"/>
        <v>27</v>
      </c>
      <c r="J20" s="399">
        <f t="shared" si="24"/>
        <v>129</v>
      </c>
      <c r="K20" s="398">
        <f t="shared" si="24"/>
        <v>0</v>
      </c>
      <c r="L20" s="399">
        <f t="shared" si="24"/>
        <v>51</v>
      </c>
      <c r="M20" s="398">
        <f t="shared" si="24"/>
        <v>34</v>
      </c>
      <c r="N20" s="399">
        <f t="shared" si="24"/>
        <v>242</v>
      </c>
      <c r="O20" s="398">
        <f t="shared" si="24"/>
        <v>0</v>
      </c>
      <c r="P20" s="513">
        <f t="shared" si="24"/>
        <v>0</v>
      </c>
      <c r="Q20" s="398">
        <f t="shared" si="24"/>
        <v>0</v>
      </c>
      <c r="R20" s="513">
        <f t="shared" si="24"/>
        <v>0</v>
      </c>
      <c r="S20" s="398">
        <f>SUM(S8:S19)</f>
        <v>0</v>
      </c>
      <c r="T20" s="508">
        <f>SUM(T8:T19)</f>
        <v>0</v>
      </c>
      <c r="U20" s="398">
        <f t="shared" si="24"/>
        <v>0</v>
      </c>
      <c r="V20" s="508">
        <f t="shared" si="24"/>
        <v>0</v>
      </c>
      <c r="W20" s="398">
        <f t="shared" si="24"/>
        <v>1322</v>
      </c>
      <c r="X20" s="400">
        <f t="shared" si="24"/>
        <v>2302</v>
      </c>
      <c r="AA20" s="398">
        <f t="shared" ref="AA20:AV20" si="25">SUM(AA8:AA19)</f>
        <v>1122</v>
      </c>
      <c r="AB20" s="399">
        <f t="shared" si="25"/>
        <v>1214</v>
      </c>
      <c r="AC20" s="398">
        <f t="shared" si="25"/>
        <v>139</v>
      </c>
      <c r="AD20" s="399">
        <f t="shared" si="25"/>
        <v>424</v>
      </c>
      <c r="AE20" s="398">
        <f t="shared" si="25"/>
        <v>0</v>
      </c>
      <c r="AF20" s="399">
        <f t="shared" si="25"/>
        <v>242</v>
      </c>
      <c r="AG20" s="398">
        <f t="shared" si="25"/>
        <v>27</v>
      </c>
      <c r="AH20" s="399">
        <f t="shared" si="25"/>
        <v>129</v>
      </c>
      <c r="AI20" s="398">
        <f t="shared" si="25"/>
        <v>0</v>
      </c>
      <c r="AJ20" s="399">
        <f t="shared" si="25"/>
        <v>51</v>
      </c>
      <c r="AK20" s="398">
        <f t="shared" si="25"/>
        <v>34</v>
      </c>
      <c r="AL20" s="399">
        <f t="shared" si="25"/>
        <v>242</v>
      </c>
      <c r="AM20" s="398">
        <f t="shared" si="25"/>
        <v>0</v>
      </c>
      <c r="AN20" s="513">
        <f t="shared" si="25"/>
        <v>0</v>
      </c>
      <c r="AO20" s="398">
        <f t="shared" si="25"/>
        <v>0</v>
      </c>
      <c r="AP20" s="513">
        <f t="shared" si="25"/>
        <v>0</v>
      </c>
      <c r="AQ20" s="398">
        <f>SUM(AQ8:AQ19)</f>
        <v>0</v>
      </c>
      <c r="AR20" s="508">
        <f>SUM(AR8:AR19)</f>
        <v>0</v>
      </c>
      <c r="AS20" s="398">
        <f t="shared" si="25"/>
        <v>0</v>
      </c>
      <c r="AT20" s="508">
        <f t="shared" si="25"/>
        <v>0</v>
      </c>
      <c r="AU20" s="398">
        <f t="shared" si="25"/>
        <v>1322</v>
      </c>
      <c r="AV20" s="400">
        <f t="shared" si="25"/>
        <v>2302</v>
      </c>
    </row>
    <row r="21" spans="1:49" ht="17.25" customHeight="1" x14ac:dyDescent="0.2">
      <c r="A21" s="17"/>
      <c r="B21" s="2"/>
      <c r="C21" s="3"/>
      <c r="D21" s="3"/>
      <c r="E21" s="3"/>
      <c r="F21" s="3"/>
      <c r="G21" s="3"/>
      <c r="I21" s="3"/>
      <c r="AA21" s="3"/>
      <c r="AB21" s="3"/>
      <c r="AC21" s="3"/>
      <c r="AD21" s="3"/>
      <c r="AE21" s="3"/>
      <c r="AG21" s="3"/>
    </row>
    <row r="22" spans="1:49" x14ac:dyDescent="0.2">
      <c r="A22" s="17"/>
    </row>
  </sheetData>
  <sheetProtection algorithmName="SHA-512" hashValue="oZjjjATOJ44QkAOF3Ax60LrexuKZaq0TcPWAFqsnN9VQIbkqm2FYR1/v+DBisN7x88gE/nI4H2YHY1XZaJK6rA==" saltValue="I9QFLPLDmeXOJ0VsGu0AhQ==" spinCount="100000" sheet="1" formatColumns="0" selectLockedCells="1"/>
  <mergeCells count="43">
    <mergeCell ref="AS5:AT5"/>
    <mergeCell ref="AK4:AL4"/>
    <mergeCell ref="AM4:AN4"/>
    <mergeCell ref="AO4:AP4"/>
    <mergeCell ref="AS4:AT4"/>
    <mergeCell ref="AQ4:AR4"/>
    <mergeCell ref="AM5:AN5"/>
    <mergeCell ref="AO5:AP5"/>
    <mergeCell ref="AQ5:AR5"/>
    <mergeCell ref="AK5:AL5"/>
    <mergeCell ref="AE2:AF2"/>
    <mergeCell ref="AG2:AH2"/>
    <mergeCell ref="AC4:AD4"/>
    <mergeCell ref="AE4:AF4"/>
    <mergeCell ref="AG4:AH4"/>
    <mergeCell ref="AI4:AJ4"/>
    <mergeCell ref="AA5:AB5"/>
    <mergeCell ref="AC5:AD5"/>
    <mergeCell ref="AE5:AF5"/>
    <mergeCell ref="AG5:AH5"/>
    <mergeCell ref="AI5:AJ5"/>
    <mergeCell ref="A1:J1"/>
    <mergeCell ref="C5:D5"/>
    <mergeCell ref="E5:F5"/>
    <mergeCell ref="E4:F4"/>
    <mergeCell ref="G2:H2"/>
    <mergeCell ref="I4:J4"/>
    <mergeCell ref="I5:J5"/>
    <mergeCell ref="G4:H4"/>
    <mergeCell ref="I2:J2"/>
    <mergeCell ref="G5:H5"/>
    <mergeCell ref="K4:L4"/>
    <mergeCell ref="Q5:R5"/>
    <mergeCell ref="U5:V5"/>
    <mergeCell ref="O4:P4"/>
    <mergeCell ref="Q4:R4"/>
    <mergeCell ref="U4:V4"/>
    <mergeCell ref="M5:N5"/>
    <mergeCell ref="O5:P5"/>
    <mergeCell ref="K5:L5"/>
    <mergeCell ref="M4:N4"/>
    <mergeCell ref="S4:T4"/>
    <mergeCell ref="S5:T5"/>
  </mergeCells>
  <phoneticPr fontId="30" type="noConversion"/>
  <conditionalFormatting sqref="A8:X19 AA8:AV19">
    <cfRule type="expression" dxfId="20" priority="4" stopIfTrue="1">
      <formula>$Y8</formula>
    </cfRule>
  </conditionalFormatting>
  <printOptions horizontalCentered="1" verticalCentered="1"/>
  <pageMargins left="0" right="0" top="0.19685039370078741" bottom="0.15748031496062992" header="0.15748031496062992" footer="0.19685039370078741"/>
  <pageSetup paperSize="9" scale="66"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9"/>
  <dimension ref="A1:AP22"/>
  <sheetViews>
    <sheetView showGridLines="0" zoomScaleNormal="100" workbookViewId="0">
      <pane xSplit="2" ySplit="5" topLeftCell="C6" activePane="bottomRight" state="frozen"/>
      <selection activeCell="E11" sqref="E11"/>
      <selection pane="topRight" activeCell="E11" sqref="E11"/>
      <selection pane="bottomLeft" activeCell="E11" sqref="E11"/>
      <selection pane="bottomRight" activeCell="AH18" sqref="AH18"/>
    </sheetView>
  </sheetViews>
  <sheetFormatPr defaultColWidth="9.28515625" defaultRowHeight="10.199999999999999" x14ac:dyDescent="0.2"/>
  <cols>
    <col min="1" max="1" width="57.7109375" style="3" customWidth="1"/>
    <col min="2" max="2" width="11" style="2" customWidth="1"/>
    <col min="3" max="3" width="14.7109375" style="3" hidden="1" customWidth="1"/>
    <col min="4" max="10" width="16.7109375" style="3" hidden="1" customWidth="1"/>
    <col min="11" max="26" width="9.28515625" style="3" hidden="1" customWidth="1"/>
    <col min="27" max="27" width="14.7109375" style="3" customWidth="1"/>
    <col min="28" max="34" width="16.7109375" style="3" customWidth="1"/>
    <col min="35" max="36" width="0" style="3" hidden="1" customWidth="1"/>
    <col min="37" max="37" width="9.28515625" style="3"/>
    <col min="38" max="41" width="0" style="3" hidden="1" customWidth="1"/>
    <col min="42" max="42" width="39.7109375" style="3" customWidth="1"/>
    <col min="43" max="16384" width="9.28515625" style="3"/>
  </cols>
  <sheetData>
    <row r="1" spans="1:42" ht="33" customHeight="1" x14ac:dyDescent="0.2">
      <c r="A1" s="1097" t="str">
        <f>'t1'!A1</f>
        <v>AFAM - anno 2023</v>
      </c>
      <c r="B1" s="1097"/>
      <c r="C1" s="1097"/>
      <c r="D1" s="1097"/>
      <c r="E1" s="1097"/>
      <c r="F1" s="1097"/>
      <c r="G1" s="1097"/>
      <c r="H1" s="1097"/>
      <c r="J1" s="268"/>
      <c r="L1"/>
      <c r="AH1" s="268"/>
      <c r="AJ1"/>
    </row>
    <row r="2" spans="1:42" ht="27" customHeight="1" thickBot="1" x14ac:dyDescent="0.25">
      <c r="A2" s="5"/>
      <c r="H2" s="1129"/>
      <c r="I2" s="1129"/>
      <c r="J2" s="1129"/>
      <c r="AF2" s="1129"/>
      <c r="AG2" s="1129"/>
      <c r="AH2" s="1129"/>
    </row>
    <row r="3" spans="1:42" ht="10.8" thickBot="1" x14ac:dyDescent="0.25">
      <c r="A3" s="7"/>
      <c r="B3" s="8"/>
      <c r="C3" s="108" t="s">
        <v>217</v>
      </c>
      <c r="D3" s="9"/>
      <c r="E3" s="9"/>
      <c r="F3" s="9"/>
      <c r="G3" s="9"/>
      <c r="H3" s="9"/>
      <c r="I3" s="105"/>
      <c r="J3" s="105"/>
      <c r="AA3" s="108" t="s">
        <v>217</v>
      </c>
      <c r="AB3" s="9"/>
      <c r="AC3" s="9"/>
      <c r="AD3" s="9"/>
      <c r="AE3" s="9"/>
      <c r="AF3" s="9"/>
      <c r="AG3" s="105"/>
      <c r="AH3" s="105"/>
      <c r="AK3"/>
      <c r="AL3"/>
      <c r="AM3"/>
      <c r="AN3"/>
      <c r="AO3"/>
      <c r="AP3" s="776"/>
    </row>
    <row r="4" spans="1:42" ht="52.95" customHeight="1" thickTop="1" x14ac:dyDescent="0.2">
      <c r="A4" s="18" t="s">
        <v>108</v>
      </c>
      <c r="B4" s="106" t="s">
        <v>52</v>
      </c>
      <c r="C4" s="107" t="s">
        <v>145</v>
      </c>
      <c r="D4" s="107" t="s">
        <v>109</v>
      </c>
      <c r="E4" s="742" t="s">
        <v>560</v>
      </c>
      <c r="F4" s="743" t="s">
        <v>670</v>
      </c>
      <c r="G4" s="107" t="s">
        <v>90</v>
      </c>
      <c r="H4" s="107" t="s">
        <v>144</v>
      </c>
      <c r="I4" s="107" t="s">
        <v>91</v>
      </c>
      <c r="J4" s="538" t="s">
        <v>55</v>
      </c>
      <c r="AA4" s="107" t="s">
        <v>145</v>
      </c>
      <c r="AB4" s="107" t="s">
        <v>109</v>
      </c>
      <c r="AC4" s="742" t="s">
        <v>560</v>
      </c>
      <c r="AD4" s="743" t="s">
        <v>670</v>
      </c>
      <c r="AE4" s="1031" t="s">
        <v>693</v>
      </c>
      <c r="AF4" s="107" t="s">
        <v>144</v>
      </c>
      <c r="AG4" s="107" t="s">
        <v>91</v>
      </c>
      <c r="AH4" s="538" t="s">
        <v>55</v>
      </c>
      <c r="AK4" s="777" t="s">
        <v>597</v>
      </c>
      <c r="AL4" s="777"/>
      <c r="AM4" s="777"/>
      <c r="AN4" s="777"/>
      <c r="AO4" s="777"/>
      <c r="AP4" s="1175" t="s">
        <v>598</v>
      </c>
    </row>
    <row r="5" spans="1:42" s="226" customFormat="1" ht="12.6" thickBot="1" x14ac:dyDescent="0.3">
      <c r="A5" s="693" t="s">
        <v>518</v>
      </c>
      <c r="B5" s="245"/>
      <c r="C5" s="246" t="s">
        <v>363</v>
      </c>
      <c r="D5" s="246" t="s">
        <v>359</v>
      </c>
      <c r="E5" s="246" t="s">
        <v>561</v>
      </c>
      <c r="F5" s="246" t="s">
        <v>562</v>
      </c>
      <c r="G5" s="246" t="s">
        <v>360</v>
      </c>
      <c r="H5" s="246" t="s">
        <v>361</v>
      </c>
      <c r="I5" s="246" t="s">
        <v>362</v>
      </c>
      <c r="J5" s="247"/>
      <c r="AA5" s="246" t="s">
        <v>363</v>
      </c>
      <c r="AB5" s="246" t="s">
        <v>359</v>
      </c>
      <c r="AC5" s="246" t="s">
        <v>561</v>
      </c>
      <c r="AD5" s="246" t="s">
        <v>562</v>
      </c>
      <c r="AE5" s="246" t="s">
        <v>360</v>
      </c>
      <c r="AF5" s="246" t="s">
        <v>361</v>
      </c>
      <c r="AG5" s="246" t="s">
        <v>362</v>
      </c>
      <c r="AH5" s="247"/>
      <c r="AK5" s="783">
        <f>COUNTIF($AP$6:$AP$17,"Incongruenza")</f>
        <v>1</v>
      </c>
      <c r="AL5" s="778" t="s">
        <v>89</v>
      </c>
      <c r="AM5" s="778"/>
      <c r="AN5" s="779" t="s">
        <v>599</v>
      </c>
      <c r="AO5" s="779" t="s">
        <v>600</v>
      </c>
      <c r="AP5" s="1176"/>
    </row>
    <row r="6" spans="1:42" ht="12.75" customHeight="1" thickTop="1" thickBot="1" x14ac:dyDescent="0.25">
      <c r="A6" s="16" t="str">
        <f>'t1'!A6</f>
        <v>PROFESSORI DI PRIMA FASCIA</v>
      </c>
      <c r="B6" s="197" t="str">
        <f>'t1'!B6</f>
        <v>018P01</v>
      </c>
      <c r="C6" s="176">
        <f>ROUND(AA6,2)</f>
        <v>1103</v>
      </c>
      <c r="D6" s="698">
        <f>ROUND(AB6,0)</f>
        <v>2512579</v>
      </c>
      <c r="E6" s="698">
        <f t="shared" ref="E6:F17" si="0">ROUND(AC6,0)</f>
        <v>0</v>
      </c>
      <c r="F6" s="698">
        <f t="shared" si="0"/>
        <v>699089</v>
      </c>
      <c r="G6" s="698">
        <f t="shared" ref="G6:G17" si="1">ROUND(AE6,0)</f>
        <v>278696</v>
      </c>
      <c r="H6" s="698">
        <f t="shared" ref="H6:H17" si="2">ROUND(AF6,0)</f>
        <v>50698</v>
      </c>
      <c r="I6" s="709">
        <f t="shared" ref="I6:J17" si="3">ROUND(AG6,0)</f>
        <v>461</v>
      </c>
      <c r="J6" s="709">
        <f t="shared" si="3"/>
        <v>3540601</v>
      </c>
      <c r="K6" s="3">
        <f>'t1'!M6</f>
        <v>89</v>
      </c>
      <c r="AA6" s="176">
        <v>1103</v>
      </c>
      <c r="AB6" s="174">
        <v>2512579</v>
      </c>
      <c r="AC6" s="174"/>
      <c r="AD6" s="174">
        <v>699089</v>
      </c>
      <c r="AE6" s="174">
        <v>278696</v>
      </c>
      <c r="AF6" s="174">
        <v>50698</v>
      </c>
      <c r="AG6" s="175">
        <v>461</v>
      </c>
      <c r="AH6" s="368">
        <f>(AB6+AC6+AD6+AE6+AF6)-AG6</f>
        <v>3540601</v>
      </c>
      <c r="AI6" s="3" t="e">
        <f>'t1'!#REF!</f>
        <v>#REF!</v>
      </c>
      <c r="AK6"/>
      <c r="AL6" s="3" t="s">
        <v>602</v>
      </c>
      <c r="AM6" s="3" t="s">
        <v>601</v>
      </c>
      <c r="AN6" s="780" t="str">
        <f>IF($AL6="no",(IF($AC6&gt;0,"Incongruenza","OK")),(IF($AC6=0,"OK","ok")))</f>
        <v>OK</v>
      </c>
      <c r="AO6" s="781" t="str">
        <f>IF($AM6="no",(IF($AD6&gt;0,"Incongruenza","OK")),(IF($AD6=0,"OK","ok")))</f>
        <v>Incongruenza</v>
      </c>
      <c r="AP6" s="782" t="str">
        <f>IF(AND($AL6="no",$AM6="no",$AD6&gt;0),"Sono stati inseriti importi RIA e/o Progressioni",IF(AND($AL6="no",$AM6="no",$AC6&gt;0)," ",IF(OR($AN6="Incongruenza",$AO6="Incongruenza"),"Incongruenza"," ")))</f>
        <v>Incongruenza</v>
      </c>
    </row>
    <row r="7" spans="1:42" ht="12" customHeight="1" thickBot="1" x14ac:dyDescent="0.25">
      <c r="A7" s="126" t="str">
        <f>'t1'!A7</f>
        <v>DIRETTORE AMMINISTRATIVO EP2</v>
      </c>
      <c r="B7" s="190" t="str">
        <f>'t1'!B7</f>
        <v>013504</v>
      </c>
      <c r="C7" s="176">
        <f t="shared" ref="C7:C17" si="4">ROUND(AA7,2)</f>
        <v>0</v>
      </c>
      <c r="D7" s="698">
        <f t="shared" ref="D7:D17" si="5">ROUND(AB7,0)</f>
        <v>0</v>
      </c>
      <c r="E7" s="698">
        <f t="shared" si="0"/>
        <v>0</v>
      </c>
      <c r="F7" s="698">
        <f t="shared" si="0"/>
        <v>0</v>
      </c>
      <c r="G7" s="698">
        <f t="shared" si="1"/>
        <v>0</v>
      </c>
      <c r="H7" s="698">
        <f t="shared" si="2"/>
        <v>0</v>
      </c>
      <c r="I7" s="709">
        <f t="shared" si="3"/>
        <v>0</v>
      </c>
      <c r="J7" s="709">
        <f t="shared" si="3"/>
        <v>0</v>
      </c>
      <c r="K7" s="3">
        <f>'t1'!M7</f>
        <v>0</v>
      </c>
      <c r="AA7" s="176"/>
      <c r="AB7" s="174"/>
      <c r="AC7" s="174"/>
      <c r="AD7" s="174"/>
      <c r="AE7" s="174"/>
      <c r="AF7" s="174"/>
      <c r="AG7" s="175"/>
      <c r="AH7" s="368"/>
      <c r="AI7" s="3" t="e">
        <f>'t1'!#REF!</f>
        <v>#REF!</v>
      </c>
      <c r="AL7" s="3" t="s">
        <v>602</v>
      </c>
      <c r="AM7" s="3" t="s">
        <v>602</v>
      </c>
      <c r="AN7" s="780" t="str">
        <f t="shared" ref="AN7:AN17" si="6">IF($AL7="no",(IF($AC7&gt;0,"Incongruenza","OK")),(IF($AC7=0,"OK","ok")))</f>
        <v>OK</v>
      </c>
      <c r="AO7" s="781" t="str">
        <f t="shared" ref="AO7:AO17" si="7">IF($AM7="no",(IF($AD7&gt;0,"Incongruenza","OK")),(IF($AD7=0,"OK","ok")))</f>
        <v>OK</v>
      </c>
      <c r="AP7" s="782" t="str">
        <f t="shared" ref="AP7:AP17" si="8">IF(AND($AL7="no",$AM7="no",$AD7&gt;0),"Sono stati inseriti importi RIA e/o Progressioni",IF(AND($AL7="no",$AM7="no",$AC7&gt;0)," ",IF(OR($AN7="Incongruenza",$AO7="Incongruenza"),"Incongruenza"," ")))</f>
        <v xml:space="preserve"> </v>
      </c>
    </row>
    <row r="8" spans="1:42" ht="12" customHeight="1" thickBot="1" x14ac:dyDescent="0.25">
      <c r="A8" s="126" t="str">
        <f>'t1'!A8</f>
        <v>DIRETTORE DELL UFFICIO DI RAGIONERIA (EP1)</v>
      </c>
      <c r="B8" s="190" t="str">
        <f>'t1'!B8</f>
        <v>013159</v>
      </c>
      <c r="C8" s="176">
        <f t="shared" si="4"/>
        <v>0</v>
      </c>
      <c r="D8" s="698">
        <f t="shared" si="5"/>
        <v>0</v>
      </c>
      <c r="E8" s="698">
        <f t="shared" si="0"/>
        <v>0</v>
      </c>
      <c r="F8" s="698">
        <f t="shared" si="0"/>
        <v>0</v>
      </c>
      <c r="G8" s="698">
        <f t="shared" si="1"/>
        <v>0</v>
      </c>
      <c r="H8" s="698">
        <f t="shared" si="2"/>
        <v>0</v>
      </c>
      <c r="I8" s="709">
        <f t="shared" si="3"/>
        <v>0</v>
      </c>
      <c r="J8" s="709">
        <f t="shared" si="3"/>
        <v>0</v>
      </c>
      <c r="K8" s="3">
        <f>'t1'!M8</f>
        <v>0</v>
      </c>
      <c r="AA8" s="176">
        <v>0</v>
      </c>
      <c r="AB8" s="174"/>
      <c r="AC8" s="174"/>
      <c r="AD8" s="174"/>
      <c r="AE8" s="174"/>
      <c r="AF8" s="174"/>
      <c r="AG8" s="175"/>
      <c r="AH8" s="368">
        <f t="shared" ref="AH8:AH17" si="9">(AB8+AC8+AD8+AE8+AF8)-AG8</f>
        <v>0</v>
      </c>
      <c r="AI8" s="3" t="e">
        <f>'t1'!#REF!</f>
        <v>#REF!</v>
      </c>
      <c r="AL8" s="3" t="s">
        <v>602</v>
      </c>
      <c r="AM8" s="3" t="s">
        <v>602</v>
      </c>
      <c r="AN8" s="780" t="str">
        <f t="shared" si="6"/>
        <v>OK</v>
      </c>
      <c r="AO8" s="781" t="str">
        <f t="shared" si="7"/>
        <v>OK</v>
      </c>
      <c r="AP8" s="782" t="str">
        <f t="shared" si="8"/>
        <v xml:space="preserve"> </v>
      </c>
    </row>
    <row r="9" spans="1:42" ht="12" customHeight="1" thickBot="1" x14ac:dyDescent="0.25">
      <c r="A9" s="126" t="str">
        <f>'t1'!A9</f>
        <v>COLLABORATORE AREA III</v>
      </c>
      <c r="B9" s="190" t="str">
        <f>'t1'!B9</f>
        <v>013CTE</v>
      </c>
      <c r="C9" s="176">
        <f t="shared" si="4"/>
        <v>12</v>
      </c>
      <c r="D9" s="698">
        <f t="shared" si="5"/>
        <v>19655</v>
      </c>
      <c r="E9" s="698">
        <f t="shared" si="0"/>
        <v>0</v>
      </c>
      <c r="F9" s="698">
        <f t="shared" si="0"/>
        <v>567</v>
      </c>
      <c r="G9" s="698">
        <f t="shared" si="1"/>
        <v>1842</v>
      </c>
      <c r="H9" s="698">
        <f t="shared" si="2"/>
        <v>0</v>
      </c>
      <c r="I9" s="709">
        <f t="shared" si="3"/>
        <v>14</v>
      </c>
      <c r="J9" s="709">
        <f t="shared" si="3"/>
        <v>22050</v>
      </c>
      <c r="K9" s="3">
        <f>'t1'!M9</f>
        <v>1</v>
      </c>
      <c r="AA9" s="176">
        <v>12</v>
      </c>
      <c r="AB9" s="174">
        <v>19655</v>
      </c>
      <c r="AC9" s="174"/>
      <c r="AD9" s="174">
        <v>567</v>
      </c>
      <c r="AE9" s="174">
        <v>1842</v>
      </c>
      <c r="AF9" s="174"/>
      <c r="AG9" s="175">
        <v>14</v>
      </c>
      <c r="AH9" s="368">
        <f t="shared" si="9"/>
        <v>22050</v>
      </c>
      <c r="AI9" s="3" t="e">
        <f>'t1'!#REF!</f>
        <v>#REF!</v>
      </c>
      <c r="AL9" s="3" t="s">
        <v>602</v>
      </c>
      <c r="AM9" s="3" t="s">
        <v>602</v>
      </c>
      <c r="AN9" s="780" t="str">
        <f t="shared" si="6"/>
        <v>OK</v>
      </c>
      <c r="AO9" s="781" t="str">
        <f t="shared" si="7"/>
        <v>ok</v>
      </c>
      <c r="AP9" s="782" t="str">
        <f t="shared" si="8"/>
        <v xml:space="preserve"> </v>
      </c>
    </row>
    <row r="10" spans="1:42" ht="12" customHeight="1" thickBot="1" x14ac:dyDescent="0.25">
      <c r="A10" s="126" t="str">
        <f>'t1'!A10</f>
        <v>ASSISTENTE AREA II</v>
      </c>
      <c r="B10" s="190" t="str">
        <f>'t1'!B10</f>
        <v>012117</v>
      </c>
      <c r="C10" s="176">
        <f t="shared" si="4"/>
        <v>140</v>
      </c>
      <c r="D10" s="698">
        <f t="shared" si="5"/>
        <v>214660</v>
      </c>
      <c r="E10" s="698">
        <f t="shared" si="0"/>
        <v>0</v>
      </c>
      <c r="F10" s="698">
        <f t="shared" si="0"/>
        <v>20932</v>
      </c>
      <c r="G10" s="698">
        <f t="shared" si="1"/>
        <v>22128</v>
      </c>
      <c r="H10" s="698">
        <f t="shared" si="2"/>
        <v>337</v>
      </c>
      <c r="I10" s="709">
        <f t="shared" si="3"/>
        <v>2079</v>
      </c>
      <c r="J10" s="709">
        <f t="shared" si="3"/>
        <v>255978</v>
      </c>
      <c r="K10" s="3">
        <f>'t1'!M10</f>
        <v>13</v>
      </c>
      <c r="AA10" s="176">
        <v>140</v>
      </c>
      <c r="AB10" s="174">
        <v>214660</v>
      </c>
      <c r="AC10" s="174"/>
      <c r="AD10" s="174">
        <v>20932</v>
      </c>
      <c r="AE10" s="174">
        <v>22128</v>
      </c>
      <c r="AF10" s="174">
        <v>337</v>
      </c>
      <c r="AG10" s="175">
        <v>2079</v>
      </c>
      <c r="AH10" s="368">
        <f t="shared" si="9"/>
        <v>255978</v>
      </c>
      <c r="AI10" s="3" t="e">
        <f>'t1'!#REF!</f>
        <v>#REF!</v>
      </c>
      <c r="AL10" s="3" t="s">
        <v>602</v>
      </c>
      <c r="AM10" s="3" t="s">
        <v>602</v>
      </c>
      <c r="AN10" s="780" t="str">
        <f t="shared" si="6"/>
        <v>OK</v>
      </c>
      <c r="AO10" s="781" t="str">
        <f t="shared" si="7"/>
        <v>ok</v>
      </c>
      <c r="AP10" s="782" t="str">
        <f t="shared" si="8"/>
        <v xml:space="preserve"> </v>
      </c>
    </row>
    <row r="11" spans="1:42" ht="12" customHeight="1" thickBot="1" x14ac:dyDescent="0.25">
      <c r="A11" s="126" t="str">
        <f>'t1'!A11</f>
        <v>COADIUTORE AREA I</v>
      </c>
      <c r="B11" s="190" t="str">
        <f>'t1'!B11</f>
        <v>011121</v>
      </c>
      <c r="C11" s="176">
        <f t="shared" si="4"/>
        <v>151</v>
      </c>
      <c r="D11" s="698">
        <f t="shared" si="5"/>
        <v>207716</v>
      </c>
      <c r="E11" s="698">
        <f t="shared" si="0"/>
        <v>0</v>
      </c>
      <c r="F11" s="698">
        <f t="shared" si="0"/>
        <v>18039</v>
      </c>
      <c r="G11" s="698">
        <f t="shared" si="1"/>
        <v>18896</v>
      </c>
      <c r="H11" s="698">
        <f t="shared" si="2"/>
        <v>529</v>
      </c>
      <c r="I11" s="709">
        <f t="shared" si="3"/>
        <v>11536</v>
      </c>
      <c r="J11" s="709">
        <f t="shared" si="3"/>
        <v>233644</v>
      </c>
      <c r="K11" s="3">
        <f>'t1'!M11</f>
        <v>14</v>
      </c>
      <c r="AA11" s="176">
        <v>151</v>
      </c>
      <c r="AB11" s="174">
        <v>207716</v>
      </c>
      <c r="AC11" s="174"/>
      <c r="AD11" s="174">
        <v>18039</v>
      </c>
      <c r="AE11" s="174">
        <v>18896</v>
      </c>
      <c r="AF11" s="174">
        <v>529</v>
      </c>
      <c r="AG11" s="175">
        <v>11536</v>
      </c>
      <c r="AH11" s="368">
        <f t="shared" si="9"/>
        <v>233644</v>
      </c>
      <c r="AI11" s="3" t="e">
        <f>'t1'!#REF!</f>
        <v>#REF!</v>
      </c>
      <c r="AL11" s="3" t="s">
        <v>602</v>
      </c>
      <c r="AM11" s="3" t="s">
        <v>602</v>
      </c>
      <c r="AN11" s="780" t="str">
        <f t="shared" si="6"/>
        <v>OK</v>
      </c>
      <c r="AO11" s="781" t="str">
        <f t="shared" si="7"/>
        <v>ok</v>
      </c>
      <c r="AP11" s="782" t="str">
        <f t="shared" si="8"/>
        <v xml:space="preserve"> </v>
      </c>
    </row>
    <row r="12" spans="1:42" ht="12" customHeight="1" thickBot="1" x14ac:dyDescent="0.25">
      <c r="A12" s="126" t="str">
        <f>'t1'!A12</f>
        <v>PROFESSORI DI PRIMA FASCIA TEMPO DET.ANNUALE</v>
      </c>
      <c r="B12" s="190" t="str">
        <f>'t1'!B12</f>
        <v>018PD1</v>
      </c>
      <c r="C12" s="176">
        <f t="shared" si="4"/>
        <v>160</v>
      </c>
      <c r="D12" s="698">
        <f t="shared" si="5"/>
        <v>361892</v>
      </c>
      <c r="E12" s="698">
        <f t="shared" si="0"/>
        <v>0</v>
      </c>
      <c r="F12" s="698">
        <f t="shared" si="0"/>
        <v>0</v>
      </c>
      <c r="G12" s="698">
        <f t="shared" si="1"/>
        <v>27301</v>
      </c>
      <c r="H12" s="698">
        <f t="shared" si="2"/>
        <v>4648</v>
      </c>
      <c r="I12" s="709">
        <f t="shared" si="3"/>
        <v>96</v>
      </c>
      <c r="J12" s="709">
        <f t="shared" si="3"/>
        <v>393745</v>
      </c>
      <c r="K12" s="3">
        <f>'t1'!M12</f>
        <v>21</v>
      </c>
      <c r="AA12" s="176">
        <v>160</v>
      </c>
      <c r="AB12" s="174">
        <v>361892</v>
      </c>
      <c r="AC12" s="174"/>
      <c r="AD12" s="174"/>
      <c r="AE12" s="174">
        <v>27301</v>
      </c>
      <c r="AF12" s="174">
        <v>4648</v>
      </c>
      <c r="AG12" s="175">
        <v>96</v>
      </c>
      <c r="AH12" s="368">
        <f t="shared" si="9"/>
        <v>393745</v>
      </c>
      <c r="AI12" s="3" t="e">
        <f>'t1'!#REF!</f>
        <v>#REF!</v>
      </c>
      <c r="AL12" s="3" t="s">
        <v>602</v>
      </c>
      <c r="AM12" s="3" t="s">
        <v>602</v>
      </c>
      <c r="AN12" s="780" t="str">
        <f t="shared" si="6"/>
        <v>OK</v>
      </c>
      <c r="AO12" s="781" t="str">
        <f t="shared" si="7"/>
        <v>OK</v>
      </c>
      <c r="AP12" s="782" t="str">
        <f t="shared" si="8"/>
        <v xml:space="preserve"> </v>
      </c>
    </row>
    <row r="13" spans="1:42" ht="12" customHeight="1" thickBot="1" x14ac:dyDescent="0.25">
      <c r="A13" s="126" t="str">
        <f>'t1'!A13</f>
        <v>DIRETTORE AMMINISTRATIVO TEMPO DET.ANNUALE (EP2)</v>
      </c>
      <c r="B13" s="190" t="str">
        <f>'t1'!B13</f>
        <v>013EP2</v>
      </c>
      <c r="C13" s="176">
        <f t="shared" si="4"/>
        <v>8</v>
      </c>
      <c r="D13" s="698">
        <f t="shared" si="5"/>
        <v>18224</v>
      </c>
      <c r="E13" s="698">
        <f t="shared" si="0"/>
        <v>0</v>
      </c>
      <c r="F13" s="698">
        <f t="shared" si="0"/>
        <v>551</v>
      </c>
      <c r="G13" s="698">
        <f t="shared" si="1"/>
        <v>0</v>
      </c>
      <c r="H13" s="698">
        <f t="shared" si="2"/>
        <v>0</v>
      </c>
      <c r="I13" s="709">
        <f t="shared" si="3"/>
        <v>463</v>
      </c>
      <c r="J13" s="709">
        <f t="shared" si="3"/>
        <v>18312</v>
      </c>
      <c r="K13" s="3">
        <f>'t1'!M13</f>
        <v>1</v>
      </c>
      <c r="AA13" s="176">
        <v>8</v>
      </c>
      <c r="AB13" s="174">
        <v>18224</v>
      </c>
      <c r="AC13" s="174"/>
      <c r="AD13" s="174">
        <v>551</v>
      </c>
      <c r="AE13" s="174"/>
      <c r="AF13" s="174"/>
      <c r="AG13" s="175">
        <v>463</v>
      </c>
      <c r="AH13" s="368">
        <f t="shared" si="9"/>
        <v>18312</v>
      </c>
      <c r="AI13" s="3" t="e">
        <f>'t1'!#REF!</f>
        <v>#REF!</v>
      </c>
      <c r="AL13" s="3" t="s">
        <v>602</v>
      </c>
      <c r="AM13" s="3" t="s">
        <v>602</v>
      </c>
      <c r="AN13" s="780" t="str">
        <f t="shared" si="6"/>
        <v>OK</v>
      </c>
      <c r="AO13" s="781" t="str">
        <f t="shared" si="7"/>
        <v>ok</v>
      </c>
      <c r="AP13" s="782" t="str">
        <f t="shared" si="8"/>
        <v xml:space="preserve"> </v>
      </c>
    </row>
    <row r="14" spans="1:42" ht="12" customHeight="1" thickBot="1" x14ac:dyDescent="0.25">
      <c r="A14" s="126" t="str">
        <f>'t1'!A14</f>
        <v>DIRETTORE DELL UFFICIO DI RAGIONERIA TEMPO DET.ANNUALE (EP1)</v>
      </c>
      <c r="B14" s="190" t="str">
        <f>'t1'!B14</f>
        <v>013160</v>
      </c>
      <c r="C14" s="176">
        <f t="shared" si="4"/>
        <v>2</v>
      </c>
      <c r="D14" s="698">
        <f t="shared" si="5"/>
        <v>4005</v>
      </c>
      <c r="E14" s="698">
        <f t="shared" si="0"/>
        <v>0</v>
      </c>
      <c r="F14" s="698">
        <f t="shared" si="0"/>
        <v>0</v>
      </c>
      <c r="G14" s="698">
        <f t="shared" si="1"/>
        <v>0</v>
      </c>
      <c r="H14" s="698">
        <f t="shared" si="2"/>
        <v>0</v>
      </c>
      <c r="I14" s="709">
        <f t="shared" si="3"/>
        <v>469</v>
      </c>
      <c r="J14" s="709">
        <f t="shared" si="3"/>
        <v>3536</v>
      </c>
      <c r="K14" s="3">
        <f>'t1'!M14</f>
        <v>1</v>
      </c>
      <c r="AA14" s="176">
        <v>2</v>
      </c>
      <c r="AB14" s="174">
        <v>4005</v>
      </c>
      <c r="AC14" s="174"/>
      <c r="AD14" s="174"/>
      <c r="AE14" s="174"/>
      <c r="AF14" s="174"/>
      <c r="AG14" s="175">
        <v>469</v>
      </c>
      <c r="AH14" s="368">
        <f t="shared" si="9"/>
        <v>3536</v>
      </c>
      <c r="AI14" s="3" t="e">
        <f>'t1'!#REF!</f>
        <v>#REF!</v>
      </c>
      <c r="AL14" s="3" t="s">
        <v>601</v>
      </c>
      <c r="AM14" s="3" t="s">
        <v>601</v>
      </c>
      <c r="AN14" s="780" t="str">
        <f t="shared" si="6"/>
        <v>OK</v>
      </c>
      <c r="AO14" s="781" t="str">
        <f t="shared" si="7"/>
        <v>OK</v>
      </c>
      <c r="AP14" s="782" t="str">
        <f t="shared" si="8"/>
        <v xml:space="preserve"> </v>
      </c>
    </row>
    <row r="15" spans="1:42" ht="12" customHeight="1" thickBot="1" x14ac:dyDescent="0.25">
      <c r="A15" s="126" t="str">
        <f>'t1'!A15</f>
        <v>COLLABORATORE AREA III TEMPO DET. ANNUALE</v>
      </c>
      <c r="B15" s="190" t="str">
        <f>'t1'!B15</f>
        <v>013CDE</v>
      </c>
      <c r="C15" s="176">
        <f t="shared" si="4"/>
        <v>0</v>
      </c>
      <c r="D15" s="698">
        <f t="shared" si="5"/>
        <v>0</v>
      </c>
      <c r="E15" s="698">
        <f t="shared" si="0"/>
        <v>0</v>
      </c>
      <c r="F15" s="698">
        <f t="shared" si="0"/>
        <v>0</v>
      </c>
      <c r="G15" s="698">
        <f t="shared" si="1"/>
        <v>0</v>
      </c>
      <c r="H15" s="698">
        <f t="shared" si="2"/>
        <v>0</v>
      </c>
      <c r="I15" s="709">
        <f t="shared" si="3"/>
        <v>0</v>
      </c>
      <c r="J15" s="709">
        <f t="shared" si="3"/>
        <v>0</v>
      </c>
      <c r="K15" s="3">
        <f>'t1'!M15</f>
        <v>0</v>
      </c>
      <c r="AA15" s="176">
        <v>0</v>
      </c>
      <c r="AB15" s="174"/>
      <c r="AC15" s="174"/>
      <c r="AD15" s="174"/>
      <c r="AE15" s="174"/>
      <c r="AF15" s="174"/>
      <c r="AG15" s="175"/>
      <c r="AH15" s="368">
        <f t="shared" si="9"/>
        <v>0</v>
      </c>
      <c r="AI15" s="3" t="e">
        <f>'t1'!#REF!</f>
        <v>#REF!</v>
      </c>
      <c r="AL15" s="3" t="s">
        <v>601</v>
      </c>
      <c r="AM15" s="3" t="s">
        <v>601</v>
      </c>
      <c r="AN15" s="780" t="str">
        <f t="shared" si="6"/>
        <v>OK</v>
      </c>
      <c r="AO15" s="781" t="str">
        <f t="shared" si="7"/>
        <v>OK</v>
      </c>
      <c r="AP15" s="782" t="str">
        <f t="shared" si="8"/>
        <v xml:space="preserve"> </v>
      </c>
    </row>
    <row r="16" spans="1:42" ht="12" customHeight="1" thickBot="1" x14ac:dyDescent="0.25">
      <c r="A16" s="126" t="str">
        <f>'t1'!A16</f>
        <v>ASSISTENTE AREA II TEMPO DET. ANNUALE</v>
      </c>
      <c r="B16" s="190" t="str">
        <f>'t1'!B16</f>
        <v>012118</v>
      </c>
      <c r="C16" s="176">
        <f t="shared" si="4"/>
        <v>88</v>
      </c>
      <c r="D16" s="698">
        <f t="shared" si="5"/>
        <v>132503</v>
      </c>
      <c r="E16" s="698">
        <f t="shared" si="0"/>
        <v>0</v>
      </c>
      <c r="F16" s="698">
        <f t="shared" si="0"/>
        <v>0</v>
      </c>
      <c r="G16" s="698">
        <f t="shared" si="1"/>
        <v>9384</v>
      </c>
      <c r="H16" s="698">
        <f t="shared" si="2"/>
        <v>0</v>
      </c>
      <c r="I16" s="709">
        <f t="shared" si="3"/>
        <v>57</v>
      </c>
      <c r="J16" s="709">
        <f t="shared" si="3"/>
        <v>141830</v>
      </c>
      <c r="K16" s="3">
        <f>'t1'!M16</f>
        <v>6</v>
      </c>
      <c r="AA16" s="176">
        <v>88</v>
      </c>
      <c r="AB16" s="174">
        <v>132503</v>
      </c>
      <c r="AC16" s="174"/>
      <c r="AD16" s="174"/>
      <c r="AE16" s="174">
        <v>9384</v>
      </c>
      <c r="AF16" s="174"/>
      <c r="AG16" s="175">
        <v>57</v>
      </c>
      <c r="AH16" s="368">
        <f t="shared" si="9"/>
        <v>141830</v>
      </c>
      <c r="AI16" s="3" t="e">
        <f>'t1'!#REF!</f>
        <v>#REF!</v>
      </c>
      <c r="AL16" s="3" t="s">
        <v>601</v>
      </c>
      <c r="AM16" s="3" t="s">
        <v>601</v>
      </c>
      <c r="AN16" s="780" t="str">
        <f t="shared" si="6"/>
        <v>OK</v>
      </c>
      <c r="AO16" s="781" t="str">
        <f t="shared" si="7"/>
        <v>OK</v>
      </c>
      <c r="AP16" s="782" t="str">
        <f t="shared" si="8"/>
        <v xml:space="preserve"> </v>
      </c>
    </row>
    <row r="17" spans="1:42" ht="12" customHeight="1" thickBot="1" x14ac:dyDescent="0.25">
      <c r="A17" s="126" t="str">
        <f>'t1'!A17</f>
        <v>COADIUTORE AREA I TEMPO DET.ANNUALE</v>
      </c>
      <c r="B17" s="190" t="str">
        <f>'t1'!B17</f>
        <v>011124</v>
      </c>
      <c r="C17" s="176">
        <f t="shared" si="4"/>
        <v>90</v>
      </c>
      <c r="D17" s="698">
        <f t="shared" si="5"/>
        <v>125277</v>
      </c>
      <c r="E17" s="698">
        <f t="shared" si="0"/>
        <v>0</v>
      </c>
      <c r="F17" s="698">
        <f t="shared" si="0"/>
        <v>0</v>
      </c>
      <c r="G17" s="698">
        <f t="shared" si="1"/>
        <v>7016</v>
      </c>
      <c r="H17" s="698">
        <f t="shared" si="2"/>
        <v>62</v>
      </c>
      <c r="I17" s="709">
        <f t="shared" si="3"/>
        <v>87</v>
      </c>
      <c r="J17" s="709">
        <f t="shared" si="3"/>
        <v>132268</v>
      </c>
      <c r="K17" s="3">
        <f>'t1'!M17</f>
        <v>5</v>
      </c>
      <c r="AA17" s="176">
        <v>90</v>
      </c>
      <c r="AB17" s="174">
        <v>125277</v>
      </c>
      <c r="AC17" s="174"/>
      <c r="AD17" s="174"/>
      <c r="AE17" s="174">
        <v>7016</v>
      </c>
      <c r="AF17" s="174">
        <v>62</v>
      </c>
      <c r="AG17" s="175">
        <v>87</v>
      </c>
      <c r="AH17" s="368">
        <f t="shared" si="9"/>
        <v>132268</v>
      </c>
      <c r="AI17" s="3" t="e">
        <f>'t1'!#REF!</f>
        <v>#REF!</v>
      </c>
      <c r="AL17" s="3" t="s">
        <v>601</v>
      </c>
      <c r="AM17" s="3" t="s">
        <v>601</v>
      </c>
      <c r="AN17" s="780" t="str">
        <f t="shared" si="6"/>
        <v>OK</v>
      </c>
      <c r="AO17" s="781" t="str">
        <f t="shared" si="7"/>
        <v>OK</v>
      </c>
      <c r="AP17" s="782" t="str">
        <f t="shared" si="8"/>
        <v xml:space="preserve"> </v>
      </c>
    </row>
    <row r="18" spans="1:42" ht="12" customHeight="1" thickTop="1" thickBot="1" x14ac:dyDescent="0.25">
      <c r="A18" s="103" t="s">
        <v>55</v>
      </c>
      <c r="B18" s="104"/>
      <c r="C18" s="427">
        <f t="shared" ref="C18:J18" si="10">SUM(C6:C17)</f>
        <v>1754</v>
      </c>
      <c r="D18" s="402">
        <f t="shared" si="10"/>
        <v>3596511</v>
      </c>
      <c r="E18" s="402">
        <f t="shared" si="10"/>
        <v>0</v>
      </c>
      <c r="F18" s="402">
        <f t="shared" si="10"/>
        <v>739178</v>
      </c>
      <c r="G18" s="402">
        <f t="shared" si="10"/>
        <v>365263</v>
      </c>
      <c r="H18" s="402">
        <f t="shared" si="10"/>
        <v>56274</v>
      </c>
      <c r="I18" s="402">
        <f t="shared" si="10"/>
        <v>15262</v>
      </c>
      <c r="J18" s="403">
        <f t="shared" si="10"/>
        <v>4741964</v>
      </c>
      <c r="AA18" s="427">
        <f t="shared" ref="AA18:AH18" si="11">SUM(AA6:AA17)</f>
        <v>1754</v>
      </c>
      <c r="AB18" s="402">
        <f t="shared" si="11"/>
        <v>3596511</v>
      </c>
      <c r="AC18" s="402">
        <f t="shared" si="11"/>
        <v>0</v>
      </c>
      <c r="AD18" s="402">
        <f t="shared" si="11"/>
        <v>739178</v>
      </c>
      <c r="AE18" s="402">
        <f t="shared" si="11"/>
        <v>365263</v>
      </c>
      <c r="AF18" s="402">
        <f t="shared" si="11"/>
        <v>56274</v>
      </c>
      <c r="AG18" s="402">
        <f t="shared" si="11"/>
        <v>15262</v>
      </c>
      <c r="AH18" s="403">
        <f t="shared" si="11"/>
        <v>4741964</v>
      </c>
    </row>
    <row r="19" spans="1:42" s="33" customFormat="1" x14ac:dyDescent="0.2">
      <c r="A19" s="17"/>
      <c r="B19" s="2"/>
      <c r="C19" s="3"/>
      <c r="D19" s="3"/>
      <c r="E19" s="3"/>
      <c r="F19" s="3"/>
      <c r="G19" s="3"/>
      <c r="H19" s="3"/>
      <c r="I19" s="3"/>
      <c r="J19" s="3"/>
      <c r="K19" s="3"/>
      <c r="AA19" s="3"/>
      <c r="AB19" s="3"/>
      <c r="AC19" s="3"/>
      <c r="AD19" s="3"/>
      <c r="AE19" s="3"/>
      <c r="AF19" s="3"/>
      <c r="AG19" s="3"/>
      <c r="AH19" s="3"/>
      <c r="AI19" s="3"/>
    </row>
    <row r="20" spans="1:42" x14ac:dyDescent="0.2">
      <c r="A20" s="17"/>
    </row>
    <row r="21" spans="1:42" x14ac:dyDescent="0.2">
      <c r="A21" s="3" t="s">
        <v>146</v>
      </c>
    </row>
    <row r="22" spans="1:42" x14ac:dyDescent="0.2">
      <c r="A22" s="3" t="s">
        <v>147</v>
      </c>
    </row>
  </sheetData>
  <sheetProtection formatColumns="0" selectLockedCells="1"/>
  <mergeCells count="4">
    <mergeCell ref="H2:J2"/>
    <mergeCell ref="A1:H1"/>
    <mergeCell ref="AF2:AH2"/>
    <mergeCell ref="AP4:AP5"/>
  </mergeCells>
  <phoneticPr fontId="30" type="noConversion"/>
  <conditionalFormatting sqref="A6:J17 AA6:AH17">
    <cfRule type="expression" dxfId="19" priority="2" stopIfTrue="1">
      <formula>$K6&gt;0</formula>
    </cfRule>
  </conditionalFormatting>
  <dataValidations count="2">
    <dataValidation type="decimal" allowBlank="1" showInputMessage="1" showErrorMessage="1" sqref="C6:C17 AA6:AA17" xr:uid="{00000000-0002-0000-0E00-000000000000}">
      <formula1>0</formula1>
      <formula2>99999999</formula2>
    </dataValidation>
    <dataValidation type="whole" allowBlank="1" showInputMessage="1" showErrorMessage="1" errorTitle="ERRORE NEL DATO IMMESSO" error="INSERIRE SOLO NUMERI INTERI" sqref="AB6:AG17" xr:uid="{00000000-0002-0000-0E00-000001000000}">
      <formula1>1</formula1>
      <formula2>999999999999</formula2>
    </dataValidation>
  </dataValidations>
  <printOptions horizontalCentered="1" verticalCentered="1"/>
  <pageMargins left="0" right="0" top="0.19685039370078741" bottom="0.15748031496062992" header="0.19685039370078741" footer="0.15748031496062992"/>
  <pageSetup paperSize="9" scale="80" orientation="landscape" horizontalDpi="300" verticalDpi="4294967292"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20"/>
  <dimension ref="A1:BZ23"/>
  <sheetViews>
    <sheetView showGridLines="0" zoomScaleNormal="100" workbookViewId="0">
      <pane xSplit="2" ySplit="5" topLeftCell="C6" activePane="bottomRight" state="frozen"/>
      <selection activeCell="E11" sqref="E11"/>
      <selection pane="topRight" activeCell="E11" sqref="E11"/>
      <selection pane="bottomLeft" activeCell="E11" sqref="E11"/>
      <selection pane="bottomRight" activeCell="AP12" sqref="AP12"/>
    </sheetView>
  </sheetViews>
  <sheetFormatPr defaultColWidth="9.28515625" defaultRowHeight="10.199999999999999" x14ac:dyDescent="0.2"/>
  <cols>
    <col min="1" max="1" width="57.7109375" style="3" customWidth="1"/>
    <col min="2" max="2" width="8.7109375" style="2" customWidth="1"/>
    <col min="3" max="16" width="11.42578125" style="3" hidden="1" customWidth="1"/>
    <col min="17" max="17" width="14.7109375" style="3" hidden="1" customWidth="1"/>
    <col min="18" max="21" width="11.42578125" style="3" hidden="1" customWidth="1"/>
    <col min="22" max="26" width="9.28515625" style="3" hidden="1" customWidth="1"/>
    <col min="27" max="40" width="11.42578125" style="3" customWidth="1"/>
    <col min="41" max="41" width="16.7109375" style="3" bestFit="1" customWidth="1"/>
    <col min="42" max="45" width="11.42578125" style="3" customWidth="1"/>
    <col min="46" max="46" width="0" style="3" hidden="1" customWidth="1"/>
    <col min="47" max="77" width="9.28515625" style="3"/>
    <col min="78" max="78" width="9.28515625" style="3" hidden="1" customWidth="1"/>
    <col min="79" max="16384" width="9.28515625" style="3"/>
  </cols>
  <sheetData>
    <row r="1" spans="1:78" ht="36" customHeight="1" x14ac:dyDescent="0.2">
      <c r="A1" s="1097" t="str">
        <f>'t1'!A1</f>
        <v>AFAM - anno 2023</v>
      </c>
      <c r="B1" s="1097"/>
      <c r="C1" s="1097"/>
      <c r="D1" s="1097"/>
      <c r="E1" s="1097"/>
      <c r="F1" s="1097"/>
      <c r="G1" s="1097"/>
      <c r="H1" s="1097"/>
      <c r="I1" s="1097"/>
      <c r="J1" s="1097"/>
      <c r="K1" s="1097"/>
      <c r="L1" s="1097"/>
      <c r="M1" s="1097"/>
      <c r="N1" s="1097"/>
      <c r="O1" s="1097"/>
      <c r="P1" s="1097"/>
      <c r="Q1" s="1097"/>
      <c r="R1" s="1097"/>
      <c r="S1" s="1097"/>
      <c r="T1" s="1097"/>
      <c r="U1" s="268"/>
      <c r="AS1" s="268"/>
    </row>
    <row r="2" spans="1:78" ht="27" customHeight="1" thickBot="1" x14ac:dyDescent="0.3">
      <c r="A2" s="5"/>
      <c r="H2" s="92"/>
      <c r="I2" s="92"/>
      <c r="J2" s="92"/>
      <c r="K2" s="92"/>
      <c r="L2" s="92"/>
      <c r="M2" s="92"/>
      <c r="N2" s="92"/>
      <c r="O2" s="92"/>
      <c r="P2" s="92"/>
      <c r="Q2" s="92"/>
      <c r="R2" s="92"/>
      <c r="S2" s="92"/>
      <c r="T2" s="92"/>
      <c r="U2" s="408"/>
      <c r="AF2" s="92"/>
      <c r="AG2" s="92"/>
      <c r="AH2" s="92"/>
      <c r="AI2" s="92"/>
      <c r="AJ2" s="92"/>
      <c r="AK2" s="92"/>
      <c r="AL2" s="92"/>
      <c r="AM2" s="92"/>
      <c r="AN2" s="92"/>
      <c r="AO2" s="92"/>
      <c r="AP2" s="92"/>
      <c r="AQ2" s="92"/>
      <c r="AR2" s="92"/>
      <c r="AS2" s="408"/>
    </row>
    <row r="3" spans="1:78" customFormat="1" ht="13.8" thickBot="1" x14ac:dyDescent="0.25">
      <c r="A3" s="7"/>
      <c r="B3" s="8"/>
      <c r="C3" s="269" t="s">
        <v>217</v>
      </c>
      <c r="D3" s="11"/>
      <c r="E3" s="11"/>
      <c r="F3" s="11"/>
      <c r="G3" s="86"/>
      <c r="H3" s="86"/>
      <c r="I3" s="86"/>
      <c r="J3" s="86"/>
      <c r="K3" s="86"/>
      <c r="L3" s="86"/>
      <c r="M3" s="86"/>
      <c r="N3" s="86"/>
      <c r="O3" s="86"/>
      <c r="P3" s="86"/>
      <c r="Q3" s="86"/>
      <c r="R3" s="86"/>
      <c r="S3" s="86"/>
      <c r="T3" s="86"/>
      <c r="U3" s="90"/>
      <c r="AA3" s="269" t="s">
        <v>217</v>
      </c>
      <c r="AB3" s="11"/>
      <c r="AC3" s="11"/>
      <c r="AD3" s="11"/>
      <c r="AE3" s="86"/>
      <c r="AF3" s="86"/>
      <c r="AG3" s="86"/>
      <c r="AH3" s="86"/>
      <c r="AI3" s="86"/>
      <c r="AJ3" s="86"/>
      <c r="AK3" s="86"/>
      <c r="AL3" s="86"/>
      <c r="AM3" s="86"/>
      <c r="AN3" s="86"/>
      <c r="AO3" s="86"/>
      <c r="AP3" s="86"/>
      <c r="AQ3" s="86"/>
      <c r="AR3" s="86"/>
      <c r="AS3" s="90"/>
    </row>
    <row r="4" spans="1:78" ht="48" customHeight="1" thickTop="1" x14ac:dyDescent="0.2">
      <c r="A4" s="683" t="s">
        <v>108</v>
      </c>
      <c r="B4" s="248" t="s">
        <v>52</v>
      </c>
      <c r="C4" s="409" t="s">
        <v>403</v>
      </c>
      <c r="D4" s="409" t="s">
        <v>404</v>
      </c>
      <c r="E4" s="409" t="s">
        <v>405</v>
      </c>
      <c r="F4" s="409" t="s">
        <v>406</v>
      </c>
      <c r="G4" s="409" t="s">
        <v>407</v>
      </c>
      <c r="H4" s="409" t="s">
        <v>408</v>
      </c>
      <c r="I4" s="409" t="s">
        <v>409</v>
      </c>
      <c r="J4" s="724" t="s">
        <v>524</v>
      </c>
      <c r="K4" s="409" t="s">
        <v>446</v>
      </c>
      <c r="L4" s="410" t="s">
        <v>417</v>
      </c>
      <c r="M4" s="410" t="s">
        <v>418</v>
      </c>
      <c r="N4" s="410" t="s">
        <v>419</v>
      </c>
      <c r="O4" s="410" t="s">
        <v>420</v>
      </c>
      <c r="P4" s="410" t="s">
        <v>421</v>
      </c>
      <c r="Q4" s="410" t="s">
        <v>447</v>
      </c>
      <c r="R4" s="528" t="s">
        <v>256</v>
      </c>
      <c r="S4" s="410" t="s">
        <v>301</v>
      </c>
      <c r="T4" s="528" t="s">
        <v>257</v>
      </c>
      <c r="U4" s="100" t="s">
        <v>119</v>
      </c>
      <c r="AA4" s="409" t="s">
        <v>403</v>
      </c>
      <c r="AB4" s="409" t="s">
        <v>404</v>
      </c>
      <c r="AC4" s="409" t="s">
        <v>405</v>
      </c>
      <c r="AD4" s="409" t="s">
        <v>406</v>
      </c>
      <c r="AE4" s="409" t="s">
        <v>407</v>
      </c>
      <c r="AF4" s="409" t="s">
        <v>408</v>
      </c>
      <c r="AG4" s="409" t="s">
        <v>409</v>
      </c>
      <c r="AH4" s="724" t="s">
        <v>524</v>
      </c>
      <c r="AI4" s="409" t="s">
        <v>446</v>
      </c>
      <c r="AJ4" s="410" t="s">
        <v>417</v>
      </c>
      <c r="AK4" s="410" t="s">
        <v>418</v>
      </c>
      <c r="AL4" s="410" t="s">
        <v>419</v>
      </c>
      <c r="AM4" s="410" t="s">
        <v>420</v>
      </c>
      <c r="AN4" s="410" t="s">
        <v>421</v>
      </c>
      <c r="AO4" s="410" t="s">
        <v>447</v>
      </c>
      <c r="AP4" s="528" t="s">
        <v>256</v>
      </c>
      <c r="AQ4" s="410" t="s">
        <v>301</v>
      </c>
      <c r="AR4" s="528" t="s">
        <v>257</v>
      </c>
      <c r="AS4" s="100" t="s">
        <v>119</v>
      </c>
      <c r="BZ4" s="937" t="s">
        <v>633</v>
      </c>
    </row>
    <row r="5" spans="1:78" ht="14.25" customHeight="1" thickBot="1" x14ac:dyDescent="0.25">
      <c r="A5" s="682" t="s">
        <v>518</v>
      </c>
      <c r="B5" s="101"/>
      <c r="C5" s="411" t="s">
        <v>410</v>
      </c>
      <c r="D5" s="411" t="s">
        <v>411</v>
      </c>
      <c r="E5" s="411" t="s">
        <v>412</v>
      </c>
      <c r="F5" s="411" t="s">
        <v>413</v>
      </c>
      <c r="G5" s="411" t="s">
        <v>414</v>
      </c>
      <c r="H5" s="411" t="s">
        <v>415</v>
      </c>
      <c r="I5" s="411" t="s">
        <v>416</v>
      </c>
      <c r="J5" s="411" t="s">
        <v>525</v>
      </c>
      <c r="K5" s="411" t="s">
        <v>448</v>
      </c>
      <c r="L5" s="412" t="s">
        <v>422</v>
      </c>
      <c r="M5" s="412" t="s">
        <v>423</v>
      </c>
      <c r="N5" s="412" t="s">
        <v>424</v>
      </c>
      <c r="O5" s="412" t="s">
        <v>425</v>
      </c>
      <c r="P5" s="412" t="s">
        <v>426</v>
      </c>
      <c r="Q5" s="412" t="s">
        <v>449</v>
      </c>
      <c r="R5" s="412" t="s">
        <v>240</v>
      </c>
      <c r="S5" s="412" t="s">
        <v>241</v>
      </c>
      <c r="T5" s="412" t="s">
        <v>242</v>
      </c>
      <c r="U5" s="102" t="s">
        <v>89</v>
      </c>
      <c r="AA5" s="411" t="s">
        <v>410</v>
      </c>
      <c r="AB5" s="411" t="s">
        <v>411</v>
      </c>
      <c r="AC5" s="411" t="s">
        <v>412</v>
      </c>
      <c r="AD5" s="411" t="s">
        <v>413</v>
      </c>
      <c r="AE5" s="411" t="s">
        <v>414</v>
      </c>
      <c r="AF5" s="411" t="s">
        <v>415</v>
      </c>
      <c r="AG5" s="411" t="s">
        <v>416</v>
      </c>
      <c r="AH5" s="411" t="s">
        <v>525</v>
      </c>
      <c r="AI5" s="411" t="s">
        <v>448</v>
      </c>
      <c r="AJ5" s="412" t="s">
        <v>422</v>
      </c>
      <c r="AK5" s="412" t="s">
        <v>423</v>
      </c>
      <c r="AL5" s="412" t="s">
        <v>424</v>
      </c>
      <c r="AM5" s="412" t="s">
        <v>425</v>
      </c>
      <c r="AN5" s="412" t="s">
        <v>426</v>
      </c>
      <c r="AO5" s="412" t="s">
        <v>449</v>
      </c>
      <c r="AP5" s="412" t="s">
        <v>240</v>
      </c>
      <c r="AQ5" s="412" t="s">
        <v>241</v>
      </c>
      <c r="AR5" s="412" t="s">
        <v>242</v>
      </c>
      <c r="AS5" s="102" t="s">
        <v>89</v>
      </c>
    </row>
    <row r="6" spans="1:78" ht="12.75" customHeight="1" thickTop="1" x14ac:dyDescent="0.2">
      <c r="A6" s="16" t="str">
        <f>'t1'!A6</f>
        <v>PROFESSORI DI PRIMA FASCIA</v>
      </c>
      <c r="B6" s="197" t="str">
        <f>'t1'!B6</f>
        <v>018P01</v>
      </c>
      <c r="C6" s="710">
        <f t="shared" ref="C6:Q6" si="0">ROUND(AA6,0)</f>
        <v>128535</v>
      </c>
      <c r="D6" s="710">
        <f t="shared" si="0"/>
        <v>72050</v>
      </c>
      <c r="E6" s="710">
        <f t="shared" si="0"/>
        <v>0</v>
      </c>
      <c r="F6" s="710">
        <f t="shared" si="0"/>
        <v>231459</v>
      </c>
      <c r="G6" s="711">
        <f t="shared" si="0"/>
        <v>0</v>
      </c>
      <c r="H6" s="711">
        <f t="shared" si="0"/>
        <v>0</v>
      </c>
      <c r="I6" s="711">
        <f t="shared" si="0"/>
        <v>0</v>
      </c>
      <c r="J6" s="711">
        <f t="shared" si="0"/>
        <v>0</v>
      </c>
      <c r="K6" s="711">
        <f t="shared" si="0"/>
        <v>0</v>
      </c>
      <c r="L6" s="711">
        <f t="shared" si="0"/>
        <v>0</v>
      </c>
      <c r="M6" s="711">
        <f t="shared" si="0"/>
        <v>127026</v>
      </c>
      <c r="N6" s="711">
        <f t="shared" si="0"/>
        <v>0</v>
      </c>
      <c r="O6" s="711">
        <f t="shared" si="0"/>
        <v>34825</v>
      </c>
      <c r="P6" s="711">
        <f t="shared" si="0"/>
        <v>0</v>
      </c>
      <c r="Q6" s="711">
        <f t="shared" si="0"/>
        <v>0</v>
      </c>
      <c r="R6" s="711">
        <f>ROUND(AP6,0)</f>
        <v>3859</v>
      </c>
      <c r="S6" s="711">
        <f>ROUND(AQ6,0)</f>
        <v>54364</v>
      </c>
      <c r="T6" s="711">
        <f>ROUND(AR6,0)</f>
        <v>0</v>
      </c>
      <c r="U6" s="405">
        <f t="shared" ref="U6:U17" si="1">SUM(C6:T6)</f>
        <v>652118</v>
      </c>
      <c r="V6" s="3">
        <f>'t1'!M6</f>
        <v>89</v>
      </c>
      <c r="AA6" s="177">
        <v>128535</v>
      </c>
      <c r="AB6" s="177">
        <v>72050</v>
      </c>
      <c r="AC6" s="177"/>
      <c r="AD6" s="177">
        <v>231459</v>
      </c>
      <c r="AE6" s="177"/>
      <c r="AF6" s="177"/>
      <c r="AG6" s="177"/>
      <c r="AH6" s="177"/>
      <c r="AI6" s="177"/>
      <c r="AJ6" s="177"/>
      <c r="AK6" s="177">
        <v>127026</v>
      </c>
      <c r="AL6" s="177"/>
      <c r="AM6" s="177">
        <v>34825</v>
      </c>
      <c r="AN6" s="177"/>
      <c r="AO6" s="177"/>
      <c r="AP6" s="177">
        <v>3859</v>
      </c>
      <c r="AQ6" s="177">
        <v>54364</v>
      </c>
      <c r="AR6" s="177"/>
      <c r="AS6" s="405">
        <f t="shared" ref="AS6:AS17" si="2">SUM(AA6:AR6)</f>
        <v>652118</v>
      </c>
      <c r="AT6" s="3">
        <f>'t1'!AP6</f>
        <v>0</v>
      </c>
      <c r="BZ6" s="938" t="s">
        <v>258</v>
      </c>
    </row>
    <row r="7" spans="1:78" ht="12.75" customHeight="1" x14ac:dyDescent="0.2">
      <c r="A7" s="126" t="str">
        <f>'t1'!A7</f>
        <v>DIRETTORE AMMINISTRATIVO EP2</v>
      </c>
      <c r="B7" s="190" t="str">
        <f>'t1'!B7</f>
        <v>013504</v>
      </c>
      <c r="C7" s="710">
        <f t="shared" ref="C7:C17" si="3">ROUND(AA7,0)</f>
        <v>0</v>
      </c>
      <c r="D7" s="710">
        <f t="shared" ref="D7:D17" si="4">ROUND(AB7,0)</f>
        <v>0</v>
      </c>
      <c r="E7" s="710">
        <f t="shared" ref="E7:E17" si="5">ROUND(AC7,0)</f>
        <v>0</v>
      </c>
      <c r="F7" s="710">
        <f t="shared" ref="F7:F17" si="6">ROUND(AD7,0)</f>
        <v>0</v>
      </c>
      <c r="G7" s="711">
        <f t="shared" ref="G7:G17" si="7">ROUND(AE7,0)</f>
        <v>0</v>
      </c>
      <c r="H7" s="711">
        <f t="shared" ref="H7:H17" si="8">ROUND(AF7,0)</f>
        <v>0</v>
      </c>
      <c r="I7" s="711">
        <f t="shared" ref="I7:I17" si="9">ROUND(AG7,0)</f>
        <v>0</v>
      </c>
      <c r="J7" s="711">
        <f t="shared" ref="J7:J17" si="10">ROUND(AH7,0)</f>
        <v>0</v>
      </c>
      <c r="K7" s="711">
        <f t="shared" ref="K7:K17" si="11">ROUND(AI7,0)</f>
        <v>0</v>
      </c>
      <c r="L7" s="711">
        <f t="shared" ref="L7:L17" si="12">ROUND(AJ7,0)</f>
        <v>0</v>
      </c>
      <c r="M7" s="711">
        <f t="shared" ref="M7:M17" si="13">ROUND(AK7,0)</f>
        <v>0</v>
      </c>
      <c r="N7" s="711">
        <f t="shared" ref="N7:N17" si="14">ROUND(AL7,0)</f>
        <v>0</v>
      </c>
      <c r="O7" s="711">
        <f t="shared" ref="O7:O17" si="15">ROUND(AM7,0)</f>
        <v>0</v>
      </c>
      <c r="P7" s="711">
        <f t="shared" ref="P7:P17" si="16">ROUND(AN7,0)</f>
        <v>0</v>
      </c>
      <c r="Q7" s="711">
        <f t="shared" ref="Q7:Q17" si="17">ROUND(AO7,0)</f>
        <v>0</v>
      </c>
      <c r="R7" s="711">
        <f t="shared" ref="R7:R17" si="18">ROUND(AP7,0)</f>
        <v>0</v>
      </c>
      <c r="S7" s="711">
        <f t="shared" ref="S7:S17" si="19">ROUND(AQ7,0)</f>
        <v>0</v>
      </c>
      <c r="T7" s="711">
        <f t="shared" ref="T7:T17" si="20">ROUND(AR7,0)</f>
        <v>0</v>
      </c>
      <c r="U7" s="405">
        <f t="shared" si="1"/>
        <v>0</v>
      </c>
      <c r="V7" s="3">
        <f>'t1'!M7</f>
        <v>0</v>
      </c>
      <c r="AA7" s="177"/>
      <c r="AB7" s="177"/>
      <c r="AC7" s="177"/>
      <c r="AD7" s="177"/>
      <c r="AE7" s="178"/>
      <c r="AF7" s="178"/>
      <c r="AG7" s="178"/>
      <c r="AH7" s="178"/>
      <c r="AI7" s="178"/>
      <c r="AJ7" s="178"/>
      <c r="AK7" s="178"/>
      <c r="AL7" s="178"/>
      <c r="AM7" s="178"/>
      <c r="AN7" s="178"/>
      <c r="AO7" s="178"/>
      <c r="AP7" s="178"/>
      <c r="AQ7" s="178"/>
      <c r="AR7" s="178"/>
      <c r="AS7" s="405">
        <f t="shared" si="2"/>
        <v>0</v>
      </c>
      <c r="AT7" s="3">
        <f>'t1'!AP7</f>
        <v>0</v>
      </c>
      <c r="BZ7" s="938" t="s">
        <v>427</v>
      </c>
    </row>
    <row r="8" spans="1:78" ht="12.75" customHeight="1" x14ac:dyDescent="0.2">
      <c r="A8" s="126" t="str">
        <f>'t1'!A8</f>
        <v>DIRETTORE DELL UFFICIO DI RAGIONERIA (EP1)</v>
      </c>
      <c r="B8" s="190" t="str">
        <f>'t1'!B8</f>
        <v>013159</v>
      </c>
      <c r="C8" s="710">
        <f t="shared" si="3"/>
        <v>0</v>
      </c>
      <c r="D8" s="710">
        <f t="shared" si="4"/>
        <v>0</v>
      </c>
      <c r="E8" s="710">
        <f t="shared" si="5"/>
        <v>0</v>
      </c>
      <c r="F8" s="710">
        <f t="shared" si="6"/>
        <v>0</v>
      </c>
      <c r="G8" s="711">
        <f t="shared" si="7"/>
        <v>0</v>
      </c>
      <c r="H8" s="711">
        <f t="shared" si="8"/>
        <v>0</v>
      </c>
      <c r="I8" s="711">
        <f t="shared" si="9"/>
        <v>0</v>
      </c>
      <c r="J8" s="711">
        <f t="shared" si="10"/>
        <v>0</v>
      </c>
      <c r="K8" s="711">
        <f t="shared" si="11"/>
        <v>0</v>
      </c>
      <c r="L8" s="711">
        <f t="shared" si="12"/>
        <v>0</v>
      </c>
      <c r="M8" s="711">
        <f t="shared" si="13"/>
        <v>0</v>
      </c>
      <c r="N8" s="711">
        <f t="shared" si="14"/>
        <v>0</v>
      </c>
      <c r="O8" s="711">
        <f t="shared" si="15"/>
        <v>0</v>
      </c>
      <c r="P8" s="711">
        <f t="shared" si="16"/>
        <v>0</v>
      </c>
      <c r="Q8" s="711">
        <f t="shared" si="17"/>
        <v>0</v>
      </c>
      <c r="R8" s="711">
        <f t="shared" si="18"/>
        <v>0</v>
      </c>
      <c r="S8" s="711">
        <f t="shared" si="19"/>
        <v>0</v>
      </c>
      <c r="T8" s="711">
        <f t="shared" si="20"/>
        <v>0</v>
      </c>
      <c r="U8" s="405">
        <f t="shared" si="1"/>
        <v>0</v>
      </c>
      <c r="V8" s="3">
        <f>'t1'!M8</f>
        <v>0</v>
      </c>
      <c r="AA8" s="177"/>
      <c r="AB8" s="177"/>
      <c r="AC8" s="177"/>
      <c r="AD8" s="177"/>
      <c r="AE8" s="178"/>
      <c r="AF8" s="178"/>
      <c r="AG8" s="178"/>
      <c r="AH8" s="178"/>
      <c r="AI8" s="178"/>
      <c r="AJ8" s="178"/>
      <c r="AK8" s="178"/>
      <c r="AL8" s="178"/>
      <c r="AM8" s="178"/>
      <c r="AN8" s="178"/>
      <c r="AO8" s="178"/>
      <c r="AP8" s="178"/>
      <c r="AQ8" s="178"/>
      <c r="AR8" s="178"/>
      <c r="AS8" s="405">
        <f t="shared" si="2"/>
        <v>0</v>
      </c>
      <c r="AT8" s="3">
        <f>'t1'!AP8</f>
        <v>0</v>
      </c>
      <c r="BZ8" s="938" t="s">
        <v>427</v>
      </c>
    </row>
    <row r="9" spans="1:78" ht="12.75" customHeight="1" x14ac:dyDescent="0.2">
      <c r="A9" s="126" t="str">
        <f>'t1'!A9</f>
        <v>COLLABORATORE AREA III</v>
      </c>
      <c r="B9" s="190" t="str">
        <f>'t1'!B9</f>
        <v>013CTE</v>
      </c>
      <c r="C9" s="710">
        <f t="shared" si="3"/>
        <v>888</v>
      </c>
      <c r="D9" s="710">
        <f t="shared" si="4"/>
        <v>0</v>
      </c>
      <c r="E9" s="710">
        <f t="shared" si="5"/>
        <v>0</v>
      </c>
      <c r="F9" s="710">
        <f t="shared" si="6"/>
        <v>0</v>
      </c>
      <c r="G9" s="711">
        <f t="shared" si="7"/>
        <v>0</v>
      </c>
      <c r="H9" s="711">
        <f t="shared" si="8"/>
        <v>0</v>
      </c>
      <c r="I9" s="711">
        <f t="shared" si="9"/>
        <v>0</v>
      </c>
      <c r="J9" s="711">
        <f t="shared" si="10"/>
        <v>0</v>
      </c>
      <c r="K9" s="711">
        <f t="shared" si="11"/>
        <v>0</v>
      </c>
      <c r="L9" s="711">
        <f t="shared" si="12"/>
        <v>0</v>
      </c>
      <c r="M9" s="711">
        <f t="shared" si="13"/>
        <v>1095</v>
      </c>
      <c r="N9" s="711">
        <f t="shared" si="14"/>
        <v>0</v>
      </c>
      <c r="O9" s="711">
        <f t="shared" si="15"/>
        <v>0</v>
      </c>
      <c r="P9" s="711">
        <f t="shared" si="16"/>
        <v>0</v>
      </c>
      <c r="Q9" s="711">
        <f t="shared" si="17"/>
        <v>0</v>
      </c>
      <c r="R9" s="711">
        <f t="shared" si="18"/>
        <v>0</v>
      </c>
      <c r="S9" s="711">
        <f t="shared" si="19"/>
        <v>2200</v>
      </c>
      <c r="T9" s="711">
        <f t="shared" si="20"/>
        <v>0</v>
      </c>
      <c r="U9" s="405">
        <f t="shared" si="1"/>
        <v>4183</v>
      </c>
      <c r="V9" s="3">
        <f>'t1'!M9</f>
        <v>1</v>
      </c>
      <c r="AA9" s="177">
        <v>888</v>
      </c>
      <c r="AB9" s="177"/>
      <c r="AC9" s="177"/>
      <c r="AD9" s="177"/>
      <c r="AE9" s="178"/>
      <c r="AF9" s="178"/>
      <c r="AG9" s="178"/>
      <c r="AH9" s="178"/>
      <c r="AI9" s="178"/>
      <c r="AJ9" s="178"/>
      <c r="AK9" s="178">
        <v>1095</v>
      </c>
      <c r="AL9" s="178"/>
      <c r="AM9" s="178"/>
      <c r="AN9" s="178"/>
      <c r="AO9" s="178"/>
      <c r="AP9" s="178"/>
      <c r="AQ9" s="178">
        <v>2200</v>
      </c>
      <c r="AR9" s="178"/>
      <c r="AS9" s="405">
        <f t="shared" si="2"/>
        <v>4183</v>
      </c>
      <c r="AT9" s="3">
        <f>'t1'!AP9</f>
        <v>0</v>
      </c>
      <c r="BZ9" s="938" t="s">
        <v>427</v>
      </c>
    </row>
    <row r="10" spans="1:78" ht="12.75" customHeight="1" x14ac:dyDescent="0.2">
      <c r="A10" s="126" t="str">
        <f>'t1'!A10</f>
        <v>ASSISTENTE AREA II</v>
      </c>
      <c r="B10" s="190" t="str">
        <f>'t1'!B10</f>
        <v>012117</v>
      </c>
      <c r="C10" s="710">
        <f t="shared" si="3"/>
        <v>10628</v>
      </c>
      <c r="D10" s="710">
        <f t="shared" si="4"/>
        <v>0</v>
      </c>
      <c r="E10" s="710">
        <f t="shared" si="5"/>
        <v>0</v>
      </c>
      <c r="F10" s="710">
        <f t="shared" si="6"/>
        <v>340</v>
      </c>
      <c r="G10" s="711">
        <f t="shared" si="7"/>
        <v>0</v>
      </c>
      <c r="H10" s="711">
        <f t="shared" si="8"/>
        <v>0</v>
      </c>
      <c r="I10" s="711">
        <f t="shared" si="9"/>
        <v>0</v>
      </c>
      <c r="J10" s="711">
        <f t="shared" si="10"/>
        <v>0</v>
      </c>
      <c r="K10" s="711">
        <f t="shared" si="11"/>
        <v>0</v>
      </c>
      <c r="L10" s="711">
        <f t="shared" si="12"/>
        <v>0</v>
      </c>
      <c r="M10" s="711">
        <f t="shared" si="13"/>
        <v>158467</v>
      </c>
      <c r="N10" s="711">
        <f t="shared" si="14"/>
        <v>0</v>
      </c>
      <c r="O10" s="711">
        <f t="shared" si="15"/>
        <v>0</v>
      </c>
      <c r="P10" s="711">
        <f t="shared" si="16"/>
        <v>0</v>
      </c>
      <c r="Q10" s="711">
        <f t="shared" si="17"/>
        <v>0</v>
      </c>
      <c r="R10" s="711">
        <f t="shared" si="18"/>
        <v>1</v>
      </c>
      <c r="S10" s="711">
        <f t="shared" si="19"/>
        <v>25560</v>
      </c>
      <c r="T10" s="711">
        <f t="shared" si="20"/>
        <v>0</v>
      </c>
      <c r="U10" s="405">
        <f t="shared" si="1"/>
        <v>194996</v>
      </c>
      <c r="V10" s="3">
        <f>'t1'!M10</f>
        <v>13</v>
      </c>
      <c r="AA10" s="177">
        <v>10628</v>
      </c>
      <c r="AB10" s="177"/>
      <c r="AC10" s="177"/>
      <c r="AD10" s="177">
        <v>340</v>
      </c>
      <c r="AE10" s="178"/>
      <c r="AF10" s="178"/>
      <c r="AG10" s="178"/>
      <c r="AH10" s="178"/>
      <c r="AI10" s="178"/>
      <c r="AJ10" s="178"/>
      <c r="AK10" s="178">
        <v>158467</v>
      </c>
      <c r="AL10" s="178"/>
      <c r="AM10" s="178"/>
      <c r="AN10" s="178"/>
      <c r="AO10" s="178"/>
      <c r="AP10" s="178">
        <v>1</v>
      </c>
      <c r="AQ10" s="178">
        <v>25560</v>
      </c>
      <c r="AR10" s="178"/>
      <c r="AS10" s="405">
        <f t="shared" si="2"/>
        <v>194996</v>
      </c>
      <c r="AT10" s="3">
        <f>'t1'!AP10</f>
        <v>0</v>
      </c>
      <c r="BZ10" s="938" t="s">
        <v>427</v>
      </c>
    </row>
    <row r="11" spans="1:78" ht="12.75" customHeight="1" x14ac:dyDescent="0.2">
      <c r="A11" s="126" t="str">
        <f>'t1'!A11</f>
        <v>COADIUTORE AREA I</v>
      </c>
      <c r="B11" s="190" t="str">
        <f>'t1'!B11</f>
        <v>011121</v>
      </c>
      <c r="C11" s="710">
        <f t="shared" si="3"/>
        <v>9071</v>
      </c>
      <c r="D11" s="710">
        <f t="shared" si="4"/>
        <v>0</v>
      </c>
      <c r="E11" s="710">
        <f t="shared" si="5"/>
        <v>0</v>
      </c>
      <c r="F11" s="710">
        <f t="shared" si="6"/>
        <v>0</v>
      </c>
      <c r="G11" s="711">
        <f t="shared" si="7"/>
        <v>0</v>
      </c>
      <c r="H11" s="711">
        <f t="shared" si="8"/>
        <v>0</v>
      </c>
      <c r="I11" s="711">
        <f t="shared" si="9"/>
        <v>0</v>
      </c>
      <c r="J11" s="711">
        <f t="shared" si="10"/>
        <v>0</v>
      </c>
      <c r="K11" s="711">
        <f t="shared" si="11"/>
        <v>14281</v>
      </c>
      <c r="L11" s="711">
        <f t="shared" si="12"/>
        <v>0</v>
      </c>
      <c r="M11" s="711">
        <f t="shared" si="13"/>
        <v>16982</v>
      </c>
      <c r="N11" s="711">
        <f t="shared" si="14"/>
        <v>0</v>
      </c>
      <c r="O11" s="711">
        <f t="shared" si="15"/>
        <v>0</v>
      </c>
      <c r="P11" s="711">
        <f t="shared" si="16"/>
        <v>0</v>
      </c>
      <c r="Q11" s="711">
        <f t="shared" si="17"/>
        <v>0</v>
      </c>
      <c r="R11" s="711">
        <f t="shared" si="18"/>
        <v>3083</v>
      </c>
      <c r="S11" s="711">
        <f t="shared" si="19"/>
        <v>25163</v>
      </c>
      <c r="T11" s="711">
        <f t="shared" si="20"/>
        <v>0</v>
      </c>
      <c r="U11" s="405">
        <f t="shared" si="1"/>
        <v>68580</v>
      </c>
      <c r="V11" s="3">
        <f>'t1'!M11</f>
        <v>14</v>
      </c>
      <c r="AA11" s="177">
        <v>9071</v>
      </c>
      <c r="AB11" s="177"/>
      <c r="AC11" s="177"/>
      <c r="AD11" s="177"/>
      <c r="AE11" s="178"/>
      <c r="AF11" s="178"/>
      <c r="AG11" s="178"/>
      <c r="AH11" s="178"/>
      <c r="AI11" s="178">
        <v>14281</v>
      </c>
      <c r="AJ11" s="178"/>
      <c r="AK11" s="178">
        <v>16982</v>
      </c>
      <c r="AL11" s="178"/>
      <c r="AM11" s="178"/>
      <c r="AN11" s="178"/>
      <c r="AO11" s="178"/>
      <c r="AP11" s="178">
        <v>3083</v>
      </c>
      <c r="AQ11" s="178">
        <v>25163</v>
      </c>
      <c r="AR11" s="178"/>
      <c r="AS11" s="405">
        <f t="shared" si="2"/>
        <v>68580</v>
      </c>
      <c r="AT11" s="3">
        <f>'t1'!AP11</f>
        <v>0</v>
      </c>
      <c r="BZ11" s="938" t="s">
        <v>427</v>
      </c>
    </row>
    <row r="12" spans="1:78" ht="12.75" customHeight="1" x14ac:dyDescent="0.2">
      <c r="A12" s="126" t="str">
        <f>'t1'!A12</f>
        <v>PROFESSORI DI PRIMA FASCIA TEMPO DET.ANNUALE</v>
      </c>
      <c r="B12" s="190" t="str">
        <f>'t1'!B12</f>
        <v>018PD1</v>
      </c>
      <c r="C12" s="710">
        <f t="shared" si="3"/>
        <v>1800</v>
      </c>
      <c r="D12" s="710">
        <f t="shared" si="4"/>
        <v>150</v>
      </c>
      <c r="E12" s="710">
        <f t="shared" si="5"/>
        <v>0</v>
      </c>
      <c r="F12" s="710">
        <f t="shared" si="6"/>
        <v>27030</v>
      </c>
      <c r="G12" s="711">
        <f t="shared" si="7"/>
        <v>0</v>
      </c>
      <c r="H12" s="711">
        <f t="shared" si="8"/>
        <v>0</v>
      </c>
      <c r="I12" s="711">
        <f t="shared" si="9"/>
        <v>0</v>
      </c>
      <c r="J12" s="711">
        <f t="shared" si="10"/>
        <v>0</v>
      </c>
      <c r="K12" s="711">
        <f t="shared" si="11"/>
        <v>0</v>
      </c>
      <c r="L12" s="711">
        <f t="shared" si="12"/>
        <v>0</v>
      </c>
      <c r="M12" s="711">
        <f t="shared" si="13"/>
        <v>1300</v>
      </c>
      <c r="N12" s="711">
        <f t="shared" si="14"/>
        <v>0</v>
      </c>
      <c r="O12" s="711">
        <f t="shared" si="15"/>
        <v>0</v>
      </c>
      <c r="P12" s="711">
        <f t="shared" si="16"/>
        <v>0</v>
      </c>
      <c r="Q12" s="711">
        <f t="shared" si="17"/>
        <v>0</v>
      </c>
      <c r="R12" s="711">
        <f t="shared" si="18"/>
        <v>308</v>
      </c>
      <c r="S12" s="711">
        <f t="shared" si="19"/>
        <v>15936</v>
      </c>
      <c r="T12" s="711">
        <f t="shared" si="20"/>
        <v>0</v>
      </c>
      <c r="U12" s="405">
        <f t="shared" si="1"/>
        <v>46524</v>
      </c>
      <c r="V12" s="3">
        <f>'t1'!M12</f>
        <v>21</v>
      </c>
      <c r="AA12" s="177">
        <v>1800</v>
      </c>
      <c r="AB12" s="177">
        <v>150</v>
      </c>
      <c r="AC12" s="177"/>
      <c r="AD12" s="177">
        <v>27030</v>
      </c>
      <c r="AE12" s="178"/>
      <c r="AF12" s="178"/>
      <c r="AG12" s="178"/>
      <c r="AH12" s="178"/>
      <c r="AI12" s="178"/>
      <c r="AJ12" s="178"/>
      <c r="AK12" s="178">
        <v>1300</v>
      </c>
      <c r="AL12" s="178"/>
      <c r="AM12" s="178"/>
      <c r="AN12" s="178"/>
      <c r="AO12" s="178"/>
      <c r="AP12" s="178">
        <v>308</v>
      </c>
      <c r="AQ12" s="178">
        <v>15936</v>
      </c>
      <c r="AR12" s="178"/>
      <c r="AS12" s="405">
        <f t="shared" si="2"/>
        <v>46524</v>
      </c>
      <c r="AT12" s="3">
        <f>'t1'!AP12</f>
        <v>0</v>
      </c>
      <c r="BZ12" s="938" t="s">
        <v>427</v>
      </c>
    </row>
    <row r="13" spans="1:78" ht="12.75" customHeight="1" x14ac:dyDescent="0.2">
      <c r="A13" s="126" t="str">
        <f>'t1'!A13</f>
        <v>DIRETTORE AMMINISTRATIVO TEMPO DET.ANNUALE (EP2)</v>
      </c>
      <c r="B13" s="190" t="str">
        <f>'t1'!B13</f>
        <v>013EP2</v>
      </c>
      <c r="C13" s="710">
        <f t="shared" si="3"/>
        <v>98</v>
      </c>
      <c r="D13" s="710">
        <f t="shared" si="4"/>
        <v>0</v>
      </c>
      <c r="E13" s="710">
        <f t="shared" si="5"/>
        <v>0</v>
      </c>
      <c r="F13" s="710">
        <f t="shared" si="6"/>
        <v>0</v>
      </c>
      <c r="G13" s="711">
        <f t="shared" si="7"/>
        <v>0</v>
      </c>
      <c r="H13" s="711">
        <f t="shared" si="8"/>
        <v>0</v>
      </c>
      <c r="I13" s="711">
        <f t="shared" si="9"/>
        <v>0</v>
      </c>
      <c r="J13" s="711">
        <f t="shared" si="10"/>
        <v>0</v>
      </c>
      <c r="K13" s="711">
        <f t="shared" si="11"/>
        <v>0</v>
      </c>
      <c r="L13" s="711">
        <f t="shared" si="12"/>
        <v>0</v>
      </c>
      <c r="M13" s="711">
        <f t="shared" si="13"/>
        <v>641</v>
      </c>
      <c r="N13" s="711">
        <f t="shared" si="14"/>
        <v>0</v>
      </c>
      <c r="O13" s="711">
        <f t="shared" si="15"/>
        <v>0</v>
      </c>
      <c r="P13" s="711">
        <f t="shared" si="16"/>
        <v>0</v>
      </c>
      <c r="Q13" s="711">
        <f t="shared" si="17"/>
        <v>0</v>
      </c>
      <c r="R13" s="711">
        <f t="shared" si="18"/>
        <v>0</v>
      </c>
      <c r="S13" s="711">
        <f t="shared" si="19"/>
        <v>2203</v>
      </c>
      <c r="T13" s="711">
        <f t="shared" si="20"/>
        <v>0</v>
      </c>
      <c r="U13" s="405">
        <f t="shared" si="1"/>
        <v>2942</v>
      </c>
      <c r="V13" s="3">
        <f>'t1'!M13</f>
        <v>1</v>
      </c>
      <c r="AA13" s="177">
        <v>98</v>
      </c>
      <c r="AB13" s="177"/>
      <c r="AC13" s="177"/>
      <c r="AD13" s="177"/>
      <c r="AE13" s="178"/>
      <c r="AF13" s="178"/>
      <c r="AG13" s="178"/>
      <c r="AH13" s="178"/>
      <c r="AI13" s="178"/>
      <c r="AJ13" s="178"/>
      <c r="AK13" s="178">
        <v>641</v>
      </c>
      <c r="AL13" s="178"/>
      <c r="AM13" s="178"/>
      <c r="AN13" s="178"/>
      <c r="AO13" s="178"/>
      <c r="AP13" s="178"/>
      <c r="AQ13" s="178">
        <v>2203</v>
      </c>
      <c r="AR13" s="178"/>
      <c r="AS13" s="405">
        <f t="shared" si="2"/>
        <v>2942</v>
      </c>
      <c r="AT13" s="3">
        <f>'t1'!AP13</f>
        <v>0</v>
      </c>
      <c r="BZ13" s="938" t="s">
        <v>427</v>
      </c>
    </row>
    <row r="14" spans="1:78" ht="12.75" customHeight="1" x14ac:dyDescent="0.2">
      <c r="A14" s="126" t="str">
        <f>'t1'!A14</f>
        <v>DIRETTORE DELL UFFICIO DI RAGIONERIA TEMPO DET.ANNUALE (EP1)</v>
      </c>
      <c r="B14" s="190" t="str">
        <f>'t1'!B14</f>
        <v>013160</v>
      </c>
      <c r="C14" s="710">
        <f t="shared" si="3"/>
        <v>24</v>
      </c>
      <c r="D14" s="710">
        <f t="shared" si="4"/>
        <v>0</v>
      </c>
      <c r="E14" s="710">
        <f t="shared" si="5"/>
        <v>0</v>
      </c>
      <c r="F14" s="710">
        <f t="shared" si="6"/>
        <v>0</v>
      </c>
      <c r="G14" s="711">
        <f t="shared" si="7"/>
        <v>0</v>
      </c>
      <c r="H14" s="711">
        <f t="shared" si="8"/>
        <v>0</v>
      </c>
      <c r="I14" s="711">
        <f t="shared" si="9"/>
        <v>0</v>
      </c>
      <c r="J14" s="711">
        <f t="shared" si="10"/>
        <v>0</v>
      </c>
      <c r="K14" s="711">
        <f t="shared" si="11"/>
        <v>0</v>
      </c>
      <c r="L14" s="711">
        <f t="shared" si="12"/>
        <v>0</v>
      </c>
      <c r="M14" s="711">
        <f t="shared" si="13"/>
        <v>641</v>
      </c>
      <c r="N14" s="711">
        <f t="shared" si="14"/>
        <v>0</v>
      </c>
      <c r="O14" s="711">
        <f t="shared" si="15"/>
        <v>0</v>
      </c>
      <c r="P14" s="711">
        <f t="shared" si="16"/>
        <v>0</v>
      </c>
      <c r="Q14" s="711">
        <f t="shared" si="17"/>
        <v>0</v>
      </c>
      <c r="R14" s="711">
        <f t="shared" si="18"/>
        <v>0</v>
      </c>
      <c r="S14" s="711">
        <f t="shared" si="19"/>
        <v>424</v>
      </c>
      <c r="T14" s="711">
        <f t="shared" si="20"/>
        <v>0</v>
      </c>
      <c r="U14" s="405">
        <f t="shared" si="1"/>
        <v>1089</v>
      </c>
      <c r="V14" s="3">
        <f>'t1'!M14</f>
        <v>1</v>
      </c>
      <c r="AA14" s="177">
        <v>24</v>
      </c>
      <c r="AB14" s="177"/>
      <c r="AC14" s="177"/>
      <c r="AD14" s="177"/>
      <c r="AE14" s="178"/>
      <c r="AF14" s="178"/>
      <c r="AG14" s="178"/>
      <c r="AH14" s="178"/>
      <c r="AI14" s="178"/>
      <c r="AJ14" s="178"/>
      <c r="AK14" s="178">
        <v>641</v>
      </c>
      <c r="AL14" s="178"/>
      <c r="AM14" s="178"/>
      <c r="AN14" s="178"/>
      <c r="AO14" s="178"/>
      <c r="AP14" s="178"/>
      <c r="AQ14" s="178">
        <v>424</v>
      </c>
      <c r="AR14" s="178"/>
      <c r="AS14" s="405">
        <f t="shared" si="2"/>
        <v>1089</v>
      </c>
      <c r="AT14" s="3">
        <f>'t1'!AP14</f>
        <v>0</v>
      </c>
      <c r="BZ14" s="938" t="s">
        <v>427</v>
      </c>
    </row>
    <row r="15" spans="1:78" ht="12.75" customHeight="1" x14ac:dyDescent="0.2">
      <c r="A15" s="126" t="str">
        <f>'t1'!A15</f>
        <v>COLLABORATORE AREA III TEMPO DET. ANNUALE</v>
      </c>
      <c r="B15" s="190" t="str">
        <f>'t1'!B15</f>
        <v>013CDE</v>
      </c>
      <c r="C15" s="710">
        <f t="shared" si="3"/>
        <v>0</v>
      </c>
      <c r="D15" s="710">
        <f t="shared" si="4"/>
        <v>0</v>
      </c>
      <c r="E15" s="710">
        <f t="shared" si="5"/>
        <v>0</v>
      </c>
      <c r="F15" s="710">
        <f t="shared" si="6"/>
        <v>0</v>
      </c>
      <c r="G15" s="710">
        <f t="shared" si="7"/>
        <v>0</v>
      </c>
      <c r="H15" s="711">
        <f t="shared" si="8"/>
        <v>0</v>
      </c>
      <c r="I15" s="711">
        <f t="shared" si="9"/>
        <v>0</v>
      </c>
      <c r="J15" s="711">
        <f t="shared" si="10"/>
        <v>0</v>
      </c>
      <c r="K15" s="711">
        <f t="shared" si="11"/>
        <v>0</v>
      </c>
      <c r="L15" s="711">
        <f t="shared" si="12"/>
        <v>0</v>
      </c>
      <c r="M15" s="711">
        <f t="shared" si="13"/>
        <v>0</v>
      </c>
      <c r="N15" s="711">
        <f t="shared" si="14"/>
        <v>0</v>
      </c>
      <c r="O15" s="711">
        <f t="shared" si="15"/>
        <v>0</v>
      </c>
      <c r="P15" s="711">
        <f t="shared" si="16"/>
        <v>0</v>
      </c>
      <c r="Q15" s="711">
        <f t="shared" si="17"/>
        <v>0</v>
      </c>
      <c r="R15" s="711">
        <f t="shared" si="18"/>
        <v>0</v>
      </c>
      <c r="S15" s="711">
        <f t="shared" si="19"/>
        <v>0</v>
      </c>
      <c r="T15" s="711">
        <f t="shared" si="20"/>
        <v>0</v>
      </c>
      <c r="U15" s="405">
        <f t="shared" si="1"/>
        <v>0</v>
      </c>
      <c r="V15" s="3">
        <f>'t1'!M15</f>
        <v>0</v>
      </c>
      <c r="AA15" s="177"/>
      <c r="AB15" s="177"/>
      <c r="AC15" s="177"/>
      <c r="AD15" s="177"/>
      <c r="AE15" s="177"/>
      <c r="AF15" s="178"/>
      <c r="AG15" s="178"/>
      <c r="AH15" s="178"/>
      <c r="AI15" s="178"/>
      <c r="AJ15" s="178"/>
      <c r="AK15" s="178"/>
      <c r="AL15" s="178"/>
      <c r="AM15" s="178"/>
      <c r="AN15" s="178"/>
      <c r="AO15" s="178"/>
      <c r="AP15" s="178"/>
      <c r="AQ15" s="178"/>
      <c r="AR15" s="178"/>
      <c r="AS15" s="405">
        <f t="shared" si="2"/>
        <v>0</v>
      </c>
      <c r="AT15" s="3">
        <f>'t1'!AP15</f>
        <v>0</v>
      </c>
      <c r="BZ15" s="938" t="s">
        <v>427</v>
      </c>
    </row>
    <row r="16" spans="1:78" ht="12.75" customHeight="1" x14ac:dyDescent="0.2">
      <c r="A16" s="126" t="str">
        <f>'t1'!A16</f>
        <v>ASSISTENTE AREA II TEMPO DET. ANNUALE</v>
      </c>
      <c r="B16" s="190" t="str">
        <f>'t1'!B16</f>
        <v>012118</v>
      </c>
      <c r="C16" s="710">
        <f t="shared" si="3"/>
        <v>658</v>
      </c>
      <c r="D16" s="710">
        <f t="shared" si="4"/>
        <v>0</v>
      </c>
      <c r="E16" s="710">
        <f t="shared" si="5"/>
        <v>0</v>
      </c>
      <c r="F16" s="710">
        <f t="shared" si="6"/>
        <v>0</v>
      </c>
      <c r="G16" s="710">
        <f t="shared" si="7"/>
        <v>0</v>
      </c>
      <c r="H16" s="711">
        <f t="shared" si="8"/>
        <v>0</v>
      </c>
      <c r="I16" s="711">
        <f t="shared" si="9"/>
        <v>0</v>
      </c>
      <c r="J16" s="711">
        <f t="shared" si="10"/>
        <v>0</v>
      </c>
      <c r="K16" s="711">
        <f t="shared" si="11"/>
        <v>0</v>
      </c>
      <c r="L16" s="711">
        <f t="shared" si="12"/>
        <v>0</v>
      </c>
      <c r="M16" s="711">
        <f t="shared" si="13"/>
        <v>6493</v>
      </c>
      <c r="N16" s="711">
        <f t="shared" si="14"/>
        <v>0</v>
      </c>
      <c r="O16" s="711">
        <f t="shared" si="15"/>
        <v>0</v>
      </c>
      <c r="P16" s="711">
        <f t="shared" si="16"/>
        <v>0</v>
      </c>
      <c r="Q16" s="711">
        <f t="shared" si="17"/>
        <v>0</v>
      </c>
      <c r="R16" s="711">
        <f t="shared" si="18"/>
        <v>0</v>
      </c>
      <c r="S16" s="711">
        <f t="shared" si="19"/>
        <v>15126</v>
      </c>
      <c r="T16" s="711">
        <f t="shared" si="20"/>
        <v>0</v>
      </c>
      <c r="U16" s="405">
        <f t="shared" si="1"/>
        <v>22277</v>
      </c>
      <c r="V16" s="3">
        <f>'t1'!M16</f>
        <v>6</v>
      </c>
      <c r="AA16" s="177">
        <v>658</v>
      </c>
      <c r="AB16" s="177"/>
      <c r="AC16" s="177"/>
      <c r="AD16" s="177"/>
      <c r="AE16" s="177"/>
      <c r="AF16" s="178"/>
      <c r="AG16" s="178"/>
      <c r="AH16" s="178"/>
      <c r="AI16" s="178"/>
      <c r="AJ16" s="178"/>
      <c r="AK16" s="178">
        <v>6493</v>
      </c>
      <c r="AL16" s="178"/>
      <c r="AM16" s="178"/>
      <c r="AN16" s="178"/>
      <c r="AO16" s="178"/>
      <c r="AP16" s="178"/>
      <c r="AQ16" s="178">
        <v>15126</v>
      </c>
      <c r="AR16" s="178"/>
      <c r="AS16" s="405">
        <f t="shared" si="2"/>
        <v>22277</v>
      </c>
      <c r="AT16" s="3">
        <f>'t1'!AP16</f>
        <v>0</v>
      </c>
      <c r="BZ16" s="938" t="s">
        <v>427</v>
      </c>
    </row>
    <row r="17" spans="1:78" ht="12.75" customHeight="1" thickBot="1" x14ac:dyDescent="0.25">
      <c r="A17" s="126" t="str">
        <f>'t1'!A17</f>
        <v>COADIUTORE AREA I TEMPO DET.ANNUALE</v>
      </c>
      <c r="B17" s="190" t="str">
        <f>'t1'!B17</f>
        <v>011124</v>
      </c>
      <c r="C17" s="710">
        <f t="shared" si="3"/>
        <v>622</v>
      </c>
      <c r="D17" s="710">
        <f t="shared" si="4"/>
        <v>0</v>
      </c>
      <c r="E17" s="710">
        <f t="shared" si="5"/>
        <v>0</v>
      </c>
      <c r="F17" s="710">
        <f t="shared" si="6"/>
        <v>0</v>
      </c>
      <c r="G17" s="710">
        <f t="shared" si="7"/>
        <v>0</v>
      </c>
      <c r="H17" s="711">
        <f t="shared" si="8"/>
        <v>0</v>
      </c>
      <c r="I17" s="711">
        <f t="shared" si="9"/>
        <v>0</v>
      </c>
      <c r="J17" s="711">
        <f t="shared" si="10"/>
        <v>0</v>
      </c>
      <c r="K17" s="711">
        <f t="shared" si="11"/>
        <v>0</v>
      </c>
      <c r="L17" s="711">
        <f t="shared" si="12"/>
        <v>0</v>
      </c>
      <c r="M17" s="711">
        <f t="shared" si="13"/>
        <v>12232</v>
      </c>
      <c r="N17" s="711">
        <f t="shared" si="14"/>
        <v>0</v>
      </c>
      <c r="O17" s="711">
        <f t="shared" si="15"/>
        <v>0</v>
      </c>
      <c r="P17" s="711">
        <f t="shared" si="16"/>
        <v>0</v>
      </c>
      <c r="Q17" s="711">
        <f t="shared" si="17"/>
        <v>0</v>
      </c>
      <c r="R17" s="711">
        <f t="shared" si="18"/>
        <v>0</v>
      </c>
      <c r="S17" s="711">
        <f t="shared" si="19"/>
        <v>14126</v>
      </c>
      <c r="T17" s="711">
        <f t="shared" si="20"/>
        <v>0</v>
      </c>
      <c r="U17" s="405">
        <f t="shared" si="1"/>
        <v>26980</v>
      </c>
      <c r="V17" s="3">
        <f>'t1'!M17</f>
        <v>5</v>
      </c>
      <c r="AA17" s="177">
        <v>622</v>
      </c>
      <c r="AB17" s="177"/>
      <c r="AC17" s="177"/>
      <c r="AD17" s="177"/>
      <c r="AE17" s="177"/>
      <c r="AF17" s="178"/>
      <c r="AG17" s="178"/>
      <c r="AH17" s="178"/>
      <c r="AI17" s="178"/>
      <c r="AJ17" s="178"/>
      <c r="AK17" s="178">
        <v>12232</v>
      </c>
      <c r="AL17" s="178"/>
      <c r="AM17" s="178"/>
      <c r="AN17" s="178"/>
      <c r="AO17" s="178"/>
      <c r="AP17" s="178"/>
      <c r="AQ17" s="178">
        <v>14126</v>
      </c>
      <c r="AR17" s="178"/>
      <c r="AS17" s="405">
        <f t="shared" si="2"/>
        <v>26980</v>
      </c>
      <c r="AT17" s="3">
        <f>'t1'!AP17</f>
        <v>0</v>
      </c>
      <c r="BZ17" s="938" t="s">
        <v>427</v>
      </c>
    </row>
    <row r="18" spans="1:78" ht="15" customHeight="1" thickTop="1" thickBot="1" x14ac:dyDescent="0.25">
      <c r="A18" s="133" t="s">
        <v>55</v>
      </c>
      <c r="B18" s="104"/>
      <c r="C18" s="404">
        <f t="shared" ref="C18:U18" si="21">SUM(C6:C17)</f>
        <v>152324</v>
      </c>
      <c r="D18" s="404">
        <f t="shared" si="21"/>
        <v>72200</v>
      </c>
      <c r="E18" s="404">
        <f t="shared" si="21"/>
        <v>0</v>
      </c>
      <c r="F18" s="404">
        <f t="shared" si="21"/>
        <v>258829</v>
      </c>
      <c r="G18" s="404">
        <f t="shared" si="21"/>
        <v>0</v>
      </c>
      <c r="H18" s="404">
        <f t="shared" si="21"/>
        <v>0</v>
      </c>
      <c r="I18" s="404">
        <f t="shared" si="21"/>
        <v>0</v>
      </c>
      <c r="J18" s="404">
        <f t="shared" si="21"/>
        <v>0</v>
      </c>
      <c r="K18" s="404">
        <f t="shared" si="21"/>
        <v>14281</v>
      </c>
      <c r="L18" s="404">
        <f t="shared" si="21"/>
        <v>0</v>
      </c>
      <c r="M18" s="404">
        <f t="shared" si="21"/>
        <v>324877</v>
      </c>
      <c r="N18" s="404">
        <f t="shared" si="21"/>
        <v>0</v>
      </c>
      <c r="O18" s="404">
        <f t="shared" si="21"/>
        <v>34825</v>
      </c>
      <c r="P18" s="404">
        <f t="shared" si="21"/>
        <v>0</v>
      </c>
      <c r="Q18" s="404">
        <f t="shared" si="21"/>
        <v>0</v>
      </c>
      <c r="R18" s="404">
        <f t="shared" si="21"/>
        <v>7251</v>
      </c>
      <c r="S18" s="404">
        <f t="shared" si="21"/>
        <v>155102</v>
      </c>
      <c r="T18" s="404">
        <f t="shared" si="21"/>
        <v>0</v>
      </c>
      <c r="U18" s="403">
        <f t="shared" si="21"/>
        <v>1019689</v>
      </c>
      <c r="AA18" s="404">
        <f t="shared" ref="AA18:AS18" si="22">SUM(AA6:AA17)</f>
        <v>152324</v>
      </c>
      <c r="AB18" s="404">
        <f t="shared" si="22"/>
        <v>72200</v>
      </c>
      <c r="AC18" s="404">
        <f t="shared" si="22"/>
        <v>0</v>
      </c>
      <c r="AD18" s="404">
        <f t="shared" si="22"/>
        <v>258829</v>
      </c>
      <c r="AE18" s="404">
        <f t="shared" si="22"/>
        <v>0</v>
      </c>
      <c r="AF18" s="404">
        <f t="shared" si="22"/>
        <v>0</v>
      </c>
      <c r="AG18" s="404">
        <f t="shared" si="22"/>
        <v>0</v>
      </c>
      <c r="AH18" s="404">
        <f t="shared" si="22"/>
        <v>0</v>
      </c>
      <c r="AI18" s="404">
        <f t="shared" si="22"/>
        <v>14281</v>
      </c>
      <c r="AJ18" s="404">
        <f t="shared" si="22"/>
        <v>0</v>
      </c>
      <c r="AK18" s="404">
        <f t="shared" si="22"/>
        <v>324877</v>
      </c>
      <c r="AL18" s="404">
        <f t="shared" si="22"/>
        <v>0</v>
      </c>
      <c r="AM18" s="404">
        <f t="shared" si="22"/>
        <v>34825</v>
      </c>
      <c r="AN18" s="404">
        <f t="shared" si="22"/>
        <v>0</v>
      </c>
      <c r="AO18" s="404">
        <f t="shared" si="22"/>
        <v>0</v>
      </c>
      <c r="AP18" s="404">
        <f t="shared" si="22"/>
        <v>7251</v>
      </c>
      <c r="AQ18" s="404">
        <f t="shared" si="22"/>
        <v>155102</v>
      </c>
      <c r="AR18" s="404">
        <f t="shared" si="22"/>
        <v>0</v>
      </c>
      <c r="AS18" s="403">
        <f t="shared" si="22"/>
        <v>1019689</v>
      </c>
    </row>
    <row r="19" spans="1:78" x14ac:dyDescent="0.2">
      <c r="A19" s="17"/>
      <c r="U19" s="33"/>
      <c r="W19" s="33"/>
      <c r="X19" s="33"/>
      <c r="Y19" s="33"/>
      <c r="AS19" s="33"/>
      <c r="AU19" s="33"/>
      <c r="AV19" s="33"/>
      <c r="AW19" s="33"/>
    </row>
    <row r="20" spans="1:78" x14ac:dyDescent="0.2">
      <c r="A20" s="17"/>
    </row>
    <row r="21" spans="1:78" x14ac:dyDescent="0.2">
      <c r="A21" s="3" t="s">
        <v>146</v>
      </c>
      <c r="B21" s="50"/>
      <c r="C21" s="48"/>
      <c r="D21" s="48"/>
      <c r="E21" s="48"/>
      <c r="F21" s="48"/>
      <c r="G21" s="48"/>
      <c r="H21" s="48"/>
      <c r="I21" s="48"/>
      <c r="J21" s="48"/>
      <c r="K21" s="48"/>
      <c r="L21" s="48"/>
      <c r="M21" s="48"/>
      <c r="N21" s="48"/>
      <c r="O21" s="48"/>
      <c r="P21" s="48"/>
      <c r="Q21" s="48"/>
      <c r="R21" s="48"/>
      <c r="S21" s="48"/>
      <c r="T21" s="48"/>
      <c r="U21" s="48"/>
      <c r="V21" s="48"/>
      <c r="W21" s="48"/>
      <c r="X21" s="48"/>
      <c r="Y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row>
    <row r="22" spans="1:78" x14ac:dyDescent="0.2">
      <c r="A22" s="4"/>
    </row>
    <row r="23" spans="1:78" x14ac:dyDescent="0.2">
      <c r="A23" s="4"/>
    </row>
  </sheetData>
  <sheetProtection algorithmName="SHA-512" hashValue="wFenKKwUKU/KVc61b8CmibUdnCBeXGd5laD95HkAtriyguDQTZu5WUsZfss42RouPIEZIntpruTvgkTS1F+mog==" saltValue="Euq1JHMIH1RbbsBXWLwkng==" spinCount="100000" sheet="1" formatColumns="0" selectLockedCells="1"/>
  <mergeCells count="1">
    <mergeCell ref="A1:T1"/>
  </mergeCells>
  <phoneticPr fontId="30" type="noConversion"/>
  <conditionalFormatting sqref="A6:U17 AA6:AS17">
    <cfRule type="expression" dxfId="18" priority="1" stopIfTrue="1">
      <formula>$V6&gt;0</formula>
    </cfRule>
  </conditionalFormatting>
  <dataValidations count="1">
    <dataValidation type="whole" allowBlank="1" showInputMessage="1" showErrorMessage="1" errorTitle="ERRORE NEL DATO IMMESSO" error="INSERIRE SOLO NUMERI INTERI" sqref="AA6:AR17" xr:uid="{00000000-0002-0000-0F00-000000000000}">
      <formula1>1</formula1>
      <formula2>999999999999</formula2>
    </dataValidation>
  </dataValidations>
  <printOptions horizontalCentered="1" verticalCentered="1"/>
  <pageMargins left="0" right="0" top="0.15748031496062992" bottom="0.15748031496062992" header="0.19685039370078741" footer="0.19685039370078741"/>
  <pageSetup paperSize="9" scale="60" orientation="landscape" horizontalDpi="300" verticalDpi="4294967292" r:id="rId1"/>
  <headerFooter alignWithMargins="0"/>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21"/>
  <dimension ref="A1:N38"/>
  <sheetViews>
    <sheetView showGridLines="0" workbookViewId="0">
      <pane ySplit="3" topLeftCell="A19" activePane="bottomLeft" state="frozen"/>
      <selection activeCell="E11" sqref="E11"/>
      <selection pane="bottomLeft" activeCell="D22" sqref="D22"/>
    </sheetView>
  </sheetViews>
  <sheetFormatPr defaultRowHeight="10.199999999999999" x14ac:dyDescent="0.2"/>
  <cols>
    <col min="1" max="1" width="87.7109375" customWidth="1"/>
    <col min="2" max="2" width="18" customWidth="1"/>
    <col min="3" max="3" width="18" hidden="1" customWidth="1"/>
    <col min="4" max="4" width="38.7109375" customWidth="1"/>
    <col min="6" max="6" width="12.42578125" bestFit="1" customWidth="1"/>
    <col min="7" max="7" width="0" hidden="1" customWidth="1"/>
  </cols>
  <sheetData>
    <row r="1" spans="1:14" s="3" customFormat="1" ht="43.5" customHeight="1" x14ac:dyDescent="0.2">
      <c r="A1" s="1097" t="str">
        <f>'t1'!A1</f>
        <v>AFAM - anno 2023</v>
      </c>
      <c r="B1" s="1097"/>
      <c r="C1" s="1097"/>
      <c r="D1" s="1097"/>
      <c r="H1" s="4"/>
      <c r="N1"/>
    </row>
    <row r="2" spans="1:14" ht="30" customHeight="1" thickBot="1" x14ac:dyDescent="0.25">
      <c r="A2" s="5"/>
      <c r="B2" s="1184" t="str">
        <f>IF(AND(A32="",(D25+D26+D27+D28+D29)&gt;0),"ATTENZIONE!  Inserire nel campo NOTE l'elenco delle Istituzioni ed il relativo importo dei rimborsi",IF(AND(A32&lt;&gt;"",(D25+D26+D27+D28+D29)=0),"ATTENZIONE!  il campo NOTE non deve essere compilato in assenza di rimborsi",""))</f>
        <v/>
      </c>
      <c r="C2" s="1184"/>
      <c r="D2" s="1184"/>
    </row>
    <row r="3" spans="1:14" ht="21.75" customHeight="1" thickBot="1" x14ac:dyDescent="0.25">
      <c r="A3" s="93" t="s">
        <v>93</v>
      </c>
      <c r="B3" s="249" t="s">
        <v>83</v>
      </c>
      <c r="C3" s="712"/>
      <c r="D3" s="250" t="s">
        <v>85</v>
      </c>
    </row>
    <row r="4" spans="1:14" s="95" customFormat="1" ht="23.25" customHeight="1" thickTop="1" x14ac:dyDescent="0.25">
      <c r="A4" s="94" t="s">
        <v>116</v>
      </c>
      <c r="B4" s="139" t="s">
        <v>120</v>
      </c>
      <c r="C4" s="721">
        <f>ROUND(D4,0)</f>
        <v>0</v>
      </c>
      <c r="D4" s="179"/>
    </row>
    <row r="5" spans="1:14" s="95" customFormat="1" ht="23.25" customHeight="1" x14ac:dyDescent="0.25">
      <c r="A5" s="97" t="s">
        <v>327</v>
      </c>
      <c r="B5" s="140" t="s">
        <v>132</v>
      </c>
      <c r="C5" s="714">
        <f t="shared" ref="C5:C29" si="0">ROUND(D5,0)</f>
        <v>0</v>
      </c>
      <c r="D5" s="179"/>
    </row>
    <row r="6" spans="1:14" s="95" customFormat="1" ht="23.25" customHeight="1" x14ac:dyDescent="0.25">
      <c r="A6" s="97" t="s">
        <v>110</v>
      </c>
      <c r="B6" s="130" t="s">
        <v>133</v>
      </c>
      <c r="C6" s="713">
        <f t="shared" si="0"/>
        <v>0</v>
      </c>
      <c r="D6" s="179"/>
    </row>
    <row r="7" spans="1:14" s="95" customFormat="1" ht="23.25" customHeight="1" x14ac:dyDescent="0.25">
      <c r="A7" s="97" t="s">
        <v>114</v>
      </c>
      <c r="B7" s="141" t="s">
        <v>134</v>
      </c>
      <c r="C7" s="714">
        <f t="shared" si="0"/>
        <v>6870</v>
      </c>
      <c r="D7" s="179">
        <v>6870</v>
      </c>
    </row>
    <row r="8" spans="1:14" s="95" customFormat="1" ht="23.25" customHeight="1" x14ac:dyDescent="0.25">
      <c r="A8" s="98" t="s">
        <v>113</v>
      </c>
      <c r="B8" s="130" t="s">
        <v>135</v>
      </c>
      <c r="C8" s="713">
        <f t="shared" si="0"/>
        <v>0</v>
      </c>
      <c r="D8" s="179"/>
    </row>
    <row r="9" spans="1:14" s="95" customFormat="1" ht="23.25" customHeight="1" x14ac:dyDescent="0.25">
      <c r="A9" s="111" t="s">
        <v>112</v>
      </c>
      <c r="B9" s="141" t="s">
        <v>136</v>
      </c>
      <c r="C9" s="714">
        <f t="shared" si="0"/>
        <v>0</v>
      </c>
      <c r="D9" s="180"/>
    </row>
    <row r="10" spans="1:14" s="95" customFormat="1" ht="23.25" customHeight="1" x14ac:dyDescent="0.25">
      <c r="A10" s="142" t="s">
        <v>328</v>
      </c>
      <c r="B10" s="130" t="s">
        <v>124</v>
      </c>
      <c r="C10" s="713">
        <f t="shared" si="0"/>
        <v>0</v>
      </c>
      <c r="D10" s="179"/>
    </row>
    <row r="11" spans="1:14" s="95" customFormat="1" ht="23.25" customHeight="1" x14ac:dyDescent="0.25">
      <c r="A11" s="98" t="s">
        <v>137</v>
      </c>
      <c r="B11" s="129" t="s">
        <v>138</v>
      </c>
      <c r="C11" s="713">
        <f t="shared" si="0"/>
        <v>10242</v>
      </c>
      <c r="D11" s="179">
        <v>10242</v>
      </c>
    </row>
    <row r="12" spans="1:14" s="95" customFormat="1" ht="23.25" customHeight="1" x14ac:dyDescent="0.25">
      <c r="A12" s="98" t="s">
        <v>662</v>
      </c>
      <c r="B12" s="635" t="s">
        <v>660</v>
      </c>
      <c r="C12" s="713">
        <f t="shared" si="0"/>
        <v>334211</v>
      </c>
      <c r="D12" s="179">
        <v>334211</v>
      </c>
    </row>
    <row r="13" spans="1:14" s="95" customFormat="1" ht="23.25" customHeight="1" x14ac:dyDescent="0.25">
      <c r="A13" s="98" t="s">
        <v>663</v>
      </c>
      <c r="B13" s="1000" t="s">
        <v>661</v>
      </c>
      <c r="C13" s="713">
        <f t="shared" si="0"/>
        <v>27572</v>
      </c>
      <c r="D13" s="179">
        <v>27572</v>
      </c>
    </row>
    <row r="14" spans="1:14" s="95" customFormat="1" ht="23.25" customHeight="1" x14ac:dyDescent="0.25">
      <c r="A14" s="98" t="s">
        <v>2</v>
      </c>
      <c r="B14" s="130" t="s">
        <v>3</v>
      </c>
      <c r="C14" s="713">
        <f t="shared" si="0"/>
        <v>12224</v>
      </c>
      <c r="D14" s="179">
        <v>12224</v>
      </c>
    </row>
    <row r="15" spans="1:14" s="95" customFormat="1" ht="23.25" customHeight="1" x14ac:dyDescent="0.25">
      <c r="A15" s="111" t="s">
        <v>87</v>
      </c>
      <c r="B15" s="141" t="s">
        <v>139</v>
      </c>
      <c r="C15" s="714">
        <f t="shared" si="0"/>
        <v>0</v>
      </c>
      <c r="D15" s="180"/>
    </row>
    <row r="16" spans="1:14" s="95" customFormat="1" ht="23.25" customHeight="1" x14ac:dyDescent="0.25">
      <c r="A16" s="142" t="s">
        <v>329</v>
      </c>
      <c r="B16" s="140" t="s">
        <v>121</v>
      </c>
      <c r="C16" s="715">
        <f t="shared" si="0"/>
        <v>2580</v>
      </c>
      <c r="D16" s="180">
        <v>2580</v>
      </c>
    </row>
    <row r="17" spans="1:8" s="95" customFormat="1" ht="23.25" customHeight="1" x14ac:dyDescent="0.25">
      <c r="A17" s="99" t="s">
        <v>330</v>
      </c>
      <c r="B17" s="130" t="s">
        <v>122</v>
      </c>
      <c r="C17" s="713">
        <f t="shared" si="0"/>
        <v>0</v>
      </c>
      <c r="D17" s="179"/>
    </row>
    <row r="18" spans="1:8" ht="23.25" customHeight="1" x14ac:dyDescent="0.25">
      <c r="A18" s="96" t="s">
        <v>111</v>
      </c>
      <c r="B18" s="129" t="s">
        <v>131</v>
      </c>
      <c r="C18" s="713">
        <f t="shared" si="0"/>
        <v>856</v>
      </c>
      <c r="D18" s="180">
        <v>856</v>
      </c>
    </row>
    <row r="19" spans="1:8" ht="23.25" customHeight="1" x14ac:dyDescent="0.25">
      <c r="A19" s="634" t="s">
        <v>487</v>
      </c>
      <c r="B19" s="635" t="s">
        <v>488</v>
      </c>
      <c r="C19" s="716">
        <f t="shared" si="0"/>
        <v>1703</v>
      </c>
      <c r="D19" s="179">
        <v>1703</v>
      </c>
    </row>
    <row r="20" spans="1:8" s="3" customFormat="1" ht="23.25" customHeight="1" x14ac:dyDescent="0.25">
      <c r="A20" s="94" t="s">
        <v>331</v>
      </c>
      <c r="B20" s="130" t="s">
        <v>127</v>
      </c>
      <c r="C20" s="713">
        <f t="shared" si="0"/>
        <v>1683312</v>
      </c>
      <c r="D20" s="179">
        <v>1683312</v>
      </c>
      <c r="G20" s="4" t="s">
        <v>489</v>
      </c>
    </row>
    <row r="21" spans="1:8" ht="23.25" customHeight="1" x14ac:dyDescent="0.25">
      <c r="A21" s="94" t="s">
        <v>332</v>
      </c>
      <c r="B21" s="141" t="s">
        <v>128</v>
      </c>
      <c r="C21" s="714">
        <f t="shared" si="0"/>
        <v>0</v>
      </c>
      <c r="D21" s="179"/>
      <c r="G21" s="636" t="s">
        <v>490</v>
      </c>
    </row>
    <row r="22" spans="1:8" ht="23.25" customHeight="1" x14ac:dyDescent="0.25">
      <c r="A22" s="94" t="s">
        <v>86</v>
      </c>
      <c r="B22" s="130" t="s">
        <v>129</v>
      </c>
      <c r="C22" s="713">
        <f t="shared" si="0"/>
        <v>480340</v>
      </c>
      <c r="D22" s="179">
        <v>480340</v>
      </c>
      <c r="F22" s="637" t="s">
        <v>491</v>
      </c>
      <c r="G22" s="638">
        <v>2</v>
      </c>
    </row>
    <row r="23" spans="1:8" ht="23.25" customHeight="1" x14ac:dyDescent="0.25">
      <c r="A23" s="94" t="s">
        <v>333</v>
      </c>
      <c r="B23" s="141" t="s">
        <v>123</v>
      </c>
      <c r="C23" s="714">
        <f t="shared" si="0"/>
        <v>0</v>
      </c>
      <c r="D23" s="179"/>
    </row>
    <row r="24" spans="1:8" ht="23.25" customHeight="1" x14ac:dyDescent="0.25">
      <c r="A24" s="643" t="s">
        <v>504</v>
      </c>
      <c r="B24" s="130" t="s">
        <v>125</v>
      </c>
      <c r="C24" s="717">
        <f t="shared" si="0"/>
        <v>0</v>
      </c>
      <c r="D24" s="181"/>
    </row>
    <row r="25" spans="1:8" ht="23.25" customHeight="1" x14ac:dyDescent="0.25">
      <c r="A25" s="143" t="s">
        <v>345</v>
      </c>
      <c r="B25" s="129" t="s">
        <v>126</v>
      </c>
      <c r="C25" s="718">
        <f t="shared" si="0"/>
        <v>0</v>
      </c>
      <c r="D25" s="181"/>
    </row>
    <row r="26" spans="1:8" ht="23.25" customHeight="1" x14ac:dyDescent="0.25">
      <c r="A26" s="143" t="s">
        <v>346</v>
      </c>
      <c r="B26" s="129" t="s">
        <v>347</v>
      </c>
      <c r="C26" s="718">
        <f t="shared" si="0"/>
        <v>0</v>
      </c>
      <c r="D26" s="181"/>
    </row>
    <row r="27" spans="1:8" ht="23.25" customHeight="1" x14ac:dyDescent="0.25">
      <c r="A27" s="549" t="s">
        <v>371</v>
      </c>
      <c r="B27" s="129" t="s">
        <v>334</v>
      </c>
      <c r="C27" s="718">
        <f t="shared" si="0"/>
        <v>0</v>
      </c>
      <c r="D27" s="181"/>
    </row>
    <row r="28" spans="1:8" ht="23.25" customHeight="1" x14ac:dyDescent="0.25">
      <c r="A28" s="548" t="s">
        <v>370</v>
      </c>
      <c r="B28" s="130" t="s">
        <v>130</v>
      </c>
      <c r="C28" s="719">
        <f t="shared" si="0"/>
        <v>0</v>
      </c>
      <c r="D28" s="180"/>
    </row>
    <row r="29" spans="1:8" ht="23.25" customHeight="1" thickBot="1" x14ac:dyDescent="0.3">
      <c r="A29" s="550" t="s">
        <v>372</v>
      </c>
      <c r="B29" s="131" t="s">
        <v>348</v>
      </c>
      <c r="C29" s="720">
        <f t="shared" si="0"/>
        <v>0</v>
      </c>
      <c r="D29" s="182"/>
    </row>
    <row r="30" spans="1:8" ht="15" customHeight="1" thickBot="1" x14ac:dyDescent="0.25">
      <c r="A30" s="1180" t="str">
        <f>IF(G22=1,"ATTENZIONE è stata dichiarata IRAP commerciale. Controllare l'importo inserito!"," ")</f>
        <v xml:space="preserve"> </v>
      </c>
      <c r="B30" s="1180"/>
      <c r="C30" s="1180"/>
      <c r="D30" s="1180"/>
    </row>
    <row r="31" spans="1:8" ht="15" customHeight="1" x14ac:dyDescent="0.2">
      <c r="A31" s="1185" t="s">
        <v>476</v>
      </c>
      <c r="B31" s="1186"/>
      <c r="C31" s="1186"/>
      <c r="D31" s="1187"/>
    </row>
    <row r="32" spans="1:8" ht="95.1" customHeight="1" thickBot="1" x14ac:dyDescent="0.25">
      <c r="A32" s="1181"/>
      <c r="B32" s="1182"/>
      <c r="C32" s="1182"/>
      <c r="D32" s="1183"/>
      <c r="E32" s="1178" t="str">
        <f>IF(AND(A32="",(D25+D26)&gt;0),"ATTENZIONE!  Inserire nel campo NOTE l'elenco delle Istituzioni ed il relativo importo dei rimborsi EFFETTUATI!",IF(AND(A32&lt;&gt;"",(D25+D26)=0),"ATTENZIONE!  il campo NOTE non deve essere compilato in assenza di rimborsi",""))</f>
        <v/>
      </c>
      <c r="F32" s="1179"/>
      <c r="G32" s="1179"/>
      <c r="H32" s="1179"/>
    </row>
    <row r="33" spans="1:8" ht="15" customHeight="1" thickBot="1" x14ac:dyDescent="0.25">
      <c r="A33" s="1180"/>
      <c r="B33" s="1180"/>
      <c r="C33" s="1180"/>
      <c r="D33" s="1180"/>
    </row>
    <row r="34" spans="1:8" ht="15" customHeight="1" x14ac:dyDescent="0.2">
      <c r="A34" s="1185" t="s">
        <v>477</v>
      </c>
      <c r="B34" s="1186"/>
      <c r="C34" s="1186"/>
      <c r="D34" s="1187"/>
    </row>
    <row r="35" spans="1:8" ht="95.1" customHeight="1" thickBot="1" x14ac:dyDescent="0.25">
      <c r="A35" s="1181"/>
      <c r="B35" s="1182"/>
      <c r="C35" s="1182"/>
      <c r="D35" s="1183"/>
      <c r="E35" s="1178" t="str">
        <f>IF(AND(A35="",(D27+D28+D29)&gt;0),"ATTENZIONE!  Inserire nel campo NOTE l'elenco delle Istituzioni ed il relativo importo dei rimborsi RICEVUTI!",IF(AND(A35&lt;&gt;"",(D27+D28+D29)=0),"ATTENZIONE!  il campo NOTE non deve essere compilato in assenza di rimborsi",""))</f>
        <v/>
      </c>
      <c r="F35" s="1179"/>
      <c r="G35" s="1179"/>
      <c r="H35" s="1179"/>
    </row>
    <row r="36" spans="1:8" ht="23.25" customHeight="1" x14ac:dyDescent="0.2">
      <c r="A36" s="3" t="s">
        <v>373</v>
      </c>
    </row>
    <row r="37" spans="1:8" ht="25.5" customHeight="1" x14ac:dyDescent="0.2">
      <c r="A37" s="1177" t="s">
        <v>478</v>
      </c>
      <c r="B37" s="1177"/>
      <c r="C37" s="1177"/>
      <c r="D37" s="1177"/>
    </row>
    <row r="38" spans="1:8" ht="25.5" customHeight="1" x14ac:dyDescent="0.2">
      <c r="A38" s="1177" t="s">
        <v>479</v>
      </c>
      <c r="B38" s="1177"/>
      <c r="C38" s="1177"/>
      <c r="D38" s="1177"/>
    </row>
  </sheetData>
  <sheetProtection algorithmName="SHA-512" hashValue="qAbhpWeM5VD8YvCGzlmRktJDCsZPYFl8XvKQ+sq8zhU16i1igpwVTsFqMlzvvk/KGFX1eEE5k0W+il0tJgN25A==" saltValue="0YFshOvVUZAPAyhWNsLoRw==" spinCount="100000" sheet="1" formatColumns="0" selectLockedCells="1"/>
  <mergeCells count="12">
    <mergeCell ref="B2:D2"/>
    <mergeCell ref="A32:D32"/>
    <mergeCell ref="A31:D31"/>
    <mergeCell ref="A34:D34"/>
    <mergeCell ref="A1:D1"/>
    <mergeCell ref="A30:D30"/>
    <mergeCell ref="A38:D38"/>
    <mergeCell ref="E32:H32"/>
    <mergeCell ref="A33:D33"/>
    <mergeCell ref="A35:D35"/>
    <mergeCell ref="E35:H35"/>
    <mergeCell ref="A37:D37"/>
  </mergeCells>
  <phoneticPr fontId="30" type="noConversion"/>
  <dataValidations count="4">
    <dataValidation type="textLength" allowBlank="1" showInputMessage="1" showErrorMessage="1" errorTitle="ATTENZIONE ! ! ! " error="E' stato superato il limite di 1000 caratteri" sqref="A32:D32 A35:D35" xr:uid="{00000000-0002-0000-1000-000000000000}">
      <formula1>0</formula1>
      <formula2>1000</formula2>
    </dataValidation>
    <dataValidation type="whole" allowBlank="1" showInputMessage="1" showErrorMessage="1" errorTitle="ERRORE NEL DATO IMMESSO" error="INSERIRE SOLO NUMERI INTERI" sqref="D4:D24" xr:uid="{00000000-0002-0000-1000-000001000000}">
      <formula1>1</formula1>
      <formula2>999999999999</formula2>
    </dataValidation>
    <dataValidation type="whole" allowBlank="1" showInputMessage="1" showErrorMessage="1" errorTitle="ERRORE NEL DATO IMMESSO" error="INSERIRE SOLO NUMERI INTERI" promptTitle="ATTENZIONE" prompt="Inserire nel campo NOTE sottostante il nome delle Istituzioni da cui si ricevono i rimborsi ed i relativi importi" sqref="D27:D29" xr:uid="{00000000-0002-0000-1000-000002000000}">
      <formula1>1</formula1>
      <formula2>999999999999</formula2>
    </dataValidation>
    <dataValidation type="whole" allowBlank="1" showInputMessage="1" showErrorMessage="1" errorTitle="ERRORE NEL DATO IMMESSO" error="INSERIRE SOLO NUMERI INTERI" promptTitle="ATTENZIONE" prompt="Inserire nel campo NOTE sottostante il nome delle Istituzioni che ricevono i rimborsi ed i relativi importi" sqref="D25:D26" xr:uid="{00000000-0002-0000-1000-000003000000}">
      <formula1>1</formula1>
      <formula2>999999999999</formula2>
    </dataValidation>
  </dataValidations>
  <printOptions horizontalCentered="1" verticalCentered="1"/>
  <pageMargins left="0" right="0" top="0.19685039370078741" bottom="0.15748031496062992" header="0.19685039370078741" footer="0.19685039370078741"/>
  <pageSetup paperSize="9" scale="85" orientation="portrait" horizontalDpi="300" vertic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2940" r:id="rId4" name="Drop Down 956">
              <controlPr defaultSize="0" autoLine="0" autoPict="0" altText="No">
                <anchor moveWithCells="1">
                  <from>
                    <xdr:col>4</xdr:col>
                    <xdr:colOff>38100</xdr:colOff>
                    <xdr:row>21</xdr:row>
                    <xdr:rowOff>68580</xdr:rowOff>
                  </from>
                  <to>
                    <xdr:col>5</xdr:col>
                    <xdr:colOff>0</xdr:colOff>
                    <xdr:row>21</xdr:row>
                    <xdr:rowOff>259080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32">
    <pageSetUpPr fitToPage="1"/>
  </sheetPr>
  <dimension ref="A1:W42"/>
  <sheetViews>
    <sheetView showGridLines="0" zoomScale="80" zoomScaleNormal="80" workbookViewId="0">
      <selection activeCell="G10" sqref="G10"/>
    </sheetView>
  </sheetViews>
  <sheetFormatPr defaultColWidth="9.28515625" defaultRowHeight="10.199999999999999" x14ac:dyDescent="0.2"/>
  <cols>
    <col min="1" max="1" width="65.7109375" style="3" customWidth="1"/>
    <col min="2" max="2" width="10.7109375" style="2" customWidth="1"/>
    <col min="3" max="3" width="20.7109375" style="3" customWidth="1"/>
    <col min="4" max="4" width="2.7109375" style="3" customWidth="1"/>
    <col min="5" max="5" width="65.7109375" style="3" customWidth="1"/>
    <col min="6" max="6" width="10.7109375" style="3" customWidth="1"/>
    <col min="7" max="7" width="20.7109375" style="3" customWidth="1"/>
    <col min="8" max="8" width="73.28515625" style="3" customWidth="1"/>
    <col min="9" max="14" width="8.28515625" style="3" customWidth="1"/>
    <col min="15" max="18" width="9.28515625" style="3" hidden="1" customWidth="1"/>
    <col min="19" max="19" width="4.28515625" style="3" hidden="1" customWidth="1"/>
    <col min="20" max="23" width="9.28515625" style="3" hidden="1" customWidth="1"/>
    <col min="24" max="16384" width="9.28515625" style="3"/>
  </cols>
  <sheetData>
    <row r="1" spans="1:23" ht="43.5" customHeight="1" x14ac:dyDescent="0.2">
      <c r="A1" s="817" t="str">
        <f>'t1'!$A$1</f>
        <v>AFAM - anno 2023</v>
      </c>
      <c r="B1" s="817"/>
      <c r="C1" s="817"/>
      <c r="D1" s="817"/>
      <c r="E1" s="817"/>
      <c r="F1" s="817"/>
      <c r="G1" s="817"/>
      <c r="H1" s="818" t="s">
        <v>427</v>
      </c>
      <c r="Q1" s="939">
        <v>3</v>
      </c>
      <c r="R1" s="939" t="s">
        <v>624</v>
      </c>
    </row>
    <row r="2" spans="1:23" s="819" customFormat="1" ht="15.15" customHeight="1" x14ac:dyDescent="0.2">
      <c r="B2" s="820"/>
      <c r="N2"/>
      <c r="O2" s="821"/>
      <c r="P2" s="821"/>
      <c r="Q2" s="821"/>
      <c r="R2" s="822"/>
      <c r="S2" s="822"/>
      <c r="T2" s="821"/>
      <c r="U2" s="821"/>
      <c r="V2" s="821"/>
      <c r="W2" s="822"/>
    </row>
    <row r="3" spans="1:23" s="819" customFormat="1" ht="44.4" customHeight="1" x14ac:dyDescent="0.2">
      <c r="A3" s="943"/>
      <c r="B3" s="944"/>
      <c r="C3" s="944"/>
      <c r="D3" s="944"/>
      <c r="E3" s="944"/>
      <c r="F3" s="944"/>
      <c r="G3" s="944"/>
      <c r="N3"/>
      <c r="O3" s="823"/>
      <c r="P3" s="823"/>
      <c r="Q3" s="821"/>
      <c r="R3" s="822"/>
      <c r="S3" s="822"/>
      <c r="T3" s="823"/>
      <c r="U3" s="823"/>
      <c r="V3" s="821"/>
      <c r="W3" s="822"/>
    </row>
    <row r="4" spans="1:23" s="819" customFormat="1" ht="15.15" customHeight="1" thickBot="1" x14ac:dyDescent="0.25">
      <c r="B4" s="820"/>
      <c r="N4"/>
      <c r="O4" s="821"/>
      <c r="P4" s="821"/>
      <c r="Q4" s="821"/>
      <c r="R4" s="822"/>
      <c r="S4" s="822"/>
      <c r="T4" s="821"/>
      <c r="U4" s="821"/>
      <c r="V4" s="821"/>
      <c r="W4" s="822"/>
    </row>
    <row r="5" spans="1:23" s="819" customFormat="1" ht="25.5" customHeight="1" thickBot="1" x14ac:dyDescent="0.25">
      <c r="A5" s="824" t="s">
        <v>636</v>
      </c>
      <c r="B5" s="825"/>
      <c r="C5" s="826"/>
      <c r="D5" s="827"/>
      <c r="E5" s="824" t="s">
        <v>637</v>
      </c>
      <c r="F5" s="828"/>
      <c r="G5" s="826"/>
      <c r="H5" s="829" t="s">
        <v>549</v>
      </c>
      <c r="O5" s="830"/>
      <c r="P5" s="830"/>
      <c r="Q5" s="821"/>
      <c r="R5" s="822"/>
      <c r="S5" s="822"/>
      <c r="T5" s="830"/>
      <c r="U5" s="830"/>
      <c r="V5" s="821"/>
      <c r="W5" s="822"/>
    </row>
    <row r="6" spans="1:23" ht="16.95" customHeight="1" thickBot="1" x14ac:dyDescent="0.25">
      <c r="A6" s="831" t="s">
        <v>93</v>
      </c>
      <c r="B6" s="88" t="s">
        <v>94</v>
      </c>
      <c r="C6" s="88" t="s">
        <v>207</v>
      </c>
      <c r="D6" s="832"/>
      <c r="E6" s="831" t="s">
        <v>93</v>
      </c>
      <c r="F6" s="833" t="s">
        <v>94</v>
      </c>
      <c r="G6" s="660" t="s">
        <v>207</v>
      </c>
      <c r="H6" s="1188" t="s">
        <v>607</v>
      </c>
      <c r="I6" s="834"/>
      <c r="J6" s="834"/>
      <c r="K6" s="834"/>
      <c r="L6" s="834"/>
    </row>
    <row r="7" spans="1:23" ht="16.95" customHeight="1" x14ac:dyDescent="0.3">
      <c r="A7" s="835" t="s">
        <v>558</v>
      </c>
      <c r="B7" s="836"/>
      <c r="C7" s="837"/>
      <c r="D7" s="870"/>
      <c r="E7" s="871" t="s">
        <v>558</v>
      </c>
      <c r="F7" s="872"/>
      <c r="G7" s="873"/>
      <c r="H7" s="1189"/>
      <c r="I7" s="834"/>
      <c r="J7" s="834"/>
      <c r="O7" s="739" t="s">
        <v>550</v>
      </c>
      <c r="P7" s="839"/>
      <c r="Q7" s="840"/>
      <c r="R7" s="840"/>
      <c r="S7" s="822"/>
      <c r="T7" s="739" t="s">
        <v>551</v>
      </c>
      <c r="U7" s="839"/>
      <c r="V7" s="840"/>
      <c r="W7" s="840"/>
    </row>
    <row r="8" spans="1:23" ht="16.95" customHeight="1" x14ac:dyDescent="0.25">
      <c r="A8" s="841" t="s">
        <v>552</v>
      </c>
      <c r="B8" s="842"/>
      <c r="C8" s="843"/>
      <c r="D8" s="851"/>
      <c r="E8" s="844" t="s">
        <v>619</v>
      </c>
      <c r="F8" s="842"/>
      <c r="G8" s="843"/>
      <c r="H8" s="1189"/>
      <c r="I8" s="834"/>
      <c r="J8" s="834"/>
      <c r="O8" s="740" t="s">
        <v>553</v>
      </c>
      <c r="P8" s="740" t="s">
        <v>554</v>
      </c>
      <c r="Q8" s="740" t="s">
        <v>555</v>
      </c>
      <c r="R8" s="740" t="s">
        <v>556</v>
      </c>
      <c r="S8" s="822"/>
      <c r="T8" s="740" t="s">
        <v>553</v>
      </c>
      <c r="U8" s="740" t="s">
        <v>554</v>
      </c>
      <c r="V8" s="740" t="s">
        <v>555</v>
      </c>
      <c r="W8" s="740" t="s">
        <v>556</v>
      </c>
    </row>
    <row r="9" spans="1:23" ht="16.95" customHeight="1" x14ac:dyDescent="0.2">
      <c r="A9" s="126" t="s">
        <v>672</v>
      </c>
      <c r="B9" s="88" t="s">
        <v>429</v>
      </c>
      <c r="C9" s="845"/>
      <c r="D9" s="851"/>
      <c r="E9" s="126" t="s">
        <v>500</v>
      </c>
      <c r="F9" s="88" t="s">
        <v>436</v>
      </c>
      <c r="G9" s="845">
        <v>17500</v>
      </c>
      <c r="H9" s="1189"/>
      <c r="I9" s="834"/>
      <c r="J9" s="834"/>
      <c r="O9" s="2">
        <v>3</v>
      </c>
      <c r="P9" s="2">
        <v>7</v>
      </c>
      <c r="Q9" s="2" t="str">
        <f>B9</f>
        <v>F77F</v>
      </c>
      <c r="R9" s="2">
        <f>IF(ISNUMBER(C9),ROUND(C9,0),0)</f>
        <v>0</v>
      </c>
      <c r="S9" s="2" t="s">
        <v>624</v>
      </c>
      <c r="T9" s="2">
        <v>3</v>
      </c>
      <c r="U9" s="2">
        <v>61</v>
      </c>
      <c r="V9" s="2" t="str">
        <f>F9</f>
        <v>U839</v>
      </c>
      <c r="W9" s="2">
        <f>IF(ISNUMBER(G9),ROUND(G9,0),0)</f>
        <v>17500</v>
      </c>
    </row>
    <row r="10" spans="1:23" ht="16.95" customHeight="1" x14ac:dyDescent="0.2">
      <c r="A10" s="126" t="s">
        <v>673</v>
      </c>
      <c r="B10" s="88" t="s">
        <v>430</v>
      </c>
      <c r="C10" s="845"/>
      <c r="D10" s="851"/>
      <c r="E10" s="126" t="s">
        <v>501</v>
      </c>
      <c r="F10" s="88" t="s">
        <v>437</v>
      </c>
      <c r="G10" s="845"/>
      <c r="H10" s="1189"/>
      <c r="I10" s="834"/>
      <c r="J10" s="834"/>
      <c r="O10" s="2">
        <v>3</v>
      </c>
      <c r="P10" s="2">
        <v>7</v>
      </c>
      <c r="Q10" s="2" t="str">
        <f t="shared" ref="Q10:Q18" si="0">B10</f>
        <v>F78F</v>
      </c>
      <c r="R10" s="2">
        <f t="shared" ref="R10:R18" si="1">IF(ISNUMBER(C10),ROUND(C10,0),0)</f>
        <v>0</v>
      </c>
      <c r="S10" s="2" t="s">
        <v>624</v>
      </c>
      <c r="T10" s="2">
        <v>3</v>
      </c>
      <c r="U10" s="2">
        <v>61</v>
      </c>
      <c r="V10" s="2" t="str">
        <f t="shared" ref="V10:V15" si="2">F10</f>
        <v>U841</v>
      </c>
      <c r="W10" s="2">
        <f t="shared" ref="W10:W15" si="3">IF(ISNUMBER(G10),ROUND(G10,0),0)</f>
        <v>0</v>
      </c>
    </row>
    <row r="11" spans="1:23" ht="16.95" customHeight="1" thickBot="1" x14ac:dyDescent="0.25">
      <c r="A11" s="126" t="s">
        <v>674</v>
      </c>
      <c r="B11" s="88" t="s">
        <v>431</v>
      </c>
      <c r="C11" s="845"/>
      <c r="D11" s="851"/>
      <c r="E11" s="126" t="s">
        <v>584</v>
      </c>
      <c r="F11" s="88" t="s">
        <v>438</v>
      </c>
      <c r="G11" s="845"/>
      <c r="H11" s="1190"/>
      <c r="I11" s="834"/>
      <c r="J11" s="834"/>
      <c r="O11" s="2">
        <v>3</v>
      </c>
      <c r="P11" s="2">
        <v>7</v>
      </c>
      <c r="Q11" s="2" t="str">
        <f t="shared" si="0"/>
        <v>F79F</v>
      </c>
      <c r="R11" s="2">
        <f t="shared" si="1"/>
        <v>0</v>
      </c>
      <c r="S11" s="2" t="s">
        <v>624</v>
      </c>
      <c r="T11" s="2">
        <v>3</v>
      </c>
      <c r="U11" s="2">
        <v>61</v>
      </c>
      <c r="V11" s="2" t="str">
        <f t="shared" si="2"/>
        <v>U842</v>
      </c>
      <c r="W11" s="2">
        <f t="shared" si="3"/>
        <v>0</v>
      </c>
    </row>
    <row r="12" spans="1:23" ht="16.95" customHeight="1" thickBot="1" x14ac:dyDescent="0.25">
      <c r="A12" s="126" t="s">
        <v>687</v>
      </c>
      <c r="B12" s="88" t="s">
        <v>675</v>
      </c>
      <c r="C12" s="845"/>
      <c r="D12" s="851"/>
      <c r="E12" s="126" t="s">
        <v>585</v>
      </c>
      <c r="F12" s="88" t="s">
        <v>571</v>
      </c>
      <c r="G12" s="845"/>
      <c r="H12" s="846" t="s">
        <v>569</v>
      </c>
      <c r="I12" s="834"/>
      <c r="J12" s="834"/>
      <c r="O12" s="2">
        <v>3</v>
      </c>
      <c r="P12" s="2">
        <v>7</v>
      </c>
      <c r="Q12" s="2" t="str">
        <f t="shared" si="0"/>
        <v>F26P</v>
      </c>
      <c r="R12" s="2">
        <f t="shared" si="1"/>
        <v>0</v>
      </c>
      <c r="S12" s="2" t="s">
        <v>624</v>
      </c>
      <c r="T12" s="2">
        <v>3</v>
      </c>
      <c r="U12" s="2">
        <v>61</v>
      </c>
      <c r="V12" s="2" t="str">
        <f t="shared" si="2"/>
        <v>U836</v>
      </c>
      <c r="W12" s="2">
        <f t="shared" si="3"/>
        <v>0</v>
      </c>
    </row>
    <row r="13" spans="1:23" ht="16.95" customHeight="1" x14ac:dyDescent="0.2">
      <c r="A13" s="126" t="s">
        <v>688</v>
      </c>
      <c r="B13" s="88" t="s">
        <v>676</v>
      </c>
      <c r="C13" s="845"/>
      <c r="D13" s="851"/>
      <c r="E13" s="126" t="s">
        <v>570</v>
      </c>
      <c r="F13" s="88" t="s">
        <v>572</v>
      </c>
      <c r="G13" s="845">
        <v>113130</v>
      </c>
      <c r="H13" s="1027"/>
      <c r="I13" s="834"/>
      <c r="J13" s="834"/>
      <c r="O13" s="2">
        <v>3</v>
      </c>
      <c r="P13" s="2">
        <v>7</v>
      </c>
      <c r="Q13" s="2" t="str">
        <f t="shared" si="0"/>
        <v>F26Q</v>
      </c>
      <c r="R13" s="2">
        <f t="shared" si="1"/>
        <v>0</v>
      </c>
      <c r="S13" s="2" t="s">
        <v>624</v>
      </c>
      <c r="T13" s="2">
        <v>3</v>
      </c>
      <c r="U13" s="2">
        <v>61</v>
      </c>
      <c r="V13" s="2" t="str">
        <f t="shared" si="2"/>
        <v>U837</v>
      </c>
      <c r="W13" s="2">
        <f t="shared" si="3"/>
        <v>113130</v>
      </c>
    </row>
    <row r="14" spans="1:23" ht="16.95" customHeight="1" x14ac:dyDescent="0.2">
      <c r="A14" s="126" t="s">
        <v>689</v>
      </c>
      <c r="B14" s="88" t="s">
        <v>677</v>
      </c>
      <c r="C14" s="845"/>
      <c r="D14" s="851"/>
      <c r="E14" s="126" t="s">
        <v>586</v>
      </c>
      <c r="F14" s="88" t="s">
        <v>573</v>
      </c>
      <c r="G14" s="845">
        <v>64069</v>
      </c>
      <c r="H14" s="1191" t="str">
        <f>IF(LEN(H16&amp;H17&amp;H18&amp;H19)&gt;0,"Attenzione, le seguenti voci creano incongruenza perché magg. del 10% del totale:","OK")</f>
        <v>OK</v>
      </c>
      <c r="I14" s="834"/>
      <c r="J14" s="834"/>
      <c r="O14" s="2">
        <v>3</v>
      </c>
      <c r="P14" s="2">
        <v>7</v>
      </c>
      <c r="Q14" s="2" t="str">
        <f t="shared" si="0"/>
        <v>F26R</v>
      </c>
      <c r="R14" s="2">
        <f t="shared" si="1"/>
        <v>0</v>
      </c>
      <c r="S14" s="2" t="s">
        <v>624</v>
      </c>
      <c r="T14" s="2">
        <v>3</v>
      </c>
      <c r="U14" s="2">
        <v>61</v>
      </c>
      <c r="V14" s="2" t="str">
        <f t="shared" si="2"/>
        <v>U838</v>
      </c>
      <c r="W14" s="2">
        <f t="shared" si="3"/>
        <v>64069</v>
      </c>
    </row>
    <row r="15" spans="1:23" ht="16.95" customHeight="1" x14ac:dyDescent="0.2">
      <c r="A15" s="126" t="s">
        <v>690</v>
      </c>
      <c r="B15" s="88" t="s">
        <v>678</v>
      </c>
      <c r="C15" s="845">
        <v>184393</v>
      </c>
      <c r="D15" s="851"/>
      <c r="E15" s="126" t="s">
        <v>502</v>
      </c>
      <c r="F15" s="88" t="s">
        <v>439</v>
      </c>
      <c r="G15" s="845"/>
      <c r="H15" s="1191"/>
      <c r="I15" s="874"/>
      <c r="J15" s="874"/>
      <c r="O15" s="2">
        <v>3</v>
      </c>
      <c r="P15" s="2">
        <v>7</v>
      </c>
      <c r="Q15" s="2" t="str">
        <f t="shared" si="0"/>
        <v>F26S</v>
      </c>
      <c r="R15" s="2">
        <f t="shared" si="1"/>
        <v>184393</v>
      </c>
      <c r="S15" s="2" t="s">
        <v>624</v>
      </c>
      <c r="T15" s="853">
        <v>3</v>
      </c>
      <c r="U15" s="853">
        <v>61</v>
      </c>
      <c r="V15" s="853" t="str">
        <f t="shared" si="2"/>
        <v>U998</v>
      </c>
      <c r="W15" s="853">
        <f t="shared" si="3"/>
        <v>0</v>
      </c>
    </row>
    <row r="16" spans="1:23" ht="16.95" customHeight="1" thickBot="1" x14ac:dyDescent="0.3">
      <c r="A16" s="126" t="s">
        <v>587</v>
      </c>
      <c r="B16" s="88" t="s">
        <v>432</v>
      </c>
      <c r="C16" s="845"/>
      <c r="D16" s="851"/>
      <c r="E16" s="847" t="s">
        <v>620</v>
      </c>
      <c r="F16" s="876"/>
      <c r="G16" s="848">
        <f>SUM(G9:G15)</f>
        <v>194699</v>
      </c>
      <c r="H16" s="852" t="str">
        <f>IF(C35&lt;&gt;0,IF(R18/ABS(C$35)&gt;0.1,"Fondo d'istituto - Altre risorse fisse - F00O",""),"")</f>
        <v/>
      </c>
      <c r="I16" s="874"/>
      <c r="J16" s="874"/>
      <c r="O16" s="2">
        <v>3</v>
      </c>
      <c r="P16" s="2">
        <v>7</v>
      </c>
      <c r="Q16" s="2" t="str">
        <f t="shared" si="0"/>
        <v>F80F</v>
      </c>
      <c r="R16" s="2">
        <f t="shared" si="1"/>
        <v>0</v>
      </c>
      <c r="S16" s="2" t="s">
        <v>624</v>
      </c>
      <c r="T16" s="2" t="s">
        <v>462</v>
      </c>
      <c r="U16" s="2"/>
      <c r="V16" s="2"/>
      <c r="W16" s="2"/>
    </row>
    <row r="17" spans="1:23" ht="16.95" customHeight="1" thickBot="1" x14ac:dyDescent="0.3">
      <c r="A17" s="859" t="s">
        <v>635</v>
      </c>
      <c r="B17" s="88" t="s">
        <v>627</v>
      </c>
      <c r="C17" s="845"/>
      <c r="D17" s="851"/>
      <c r="E17" s="849" t="s">
        <v>497</v>
      </c>
      <c r="F17" s="877"/>
      <c r="G17" s="850">
        <f>G16</f>
        <v>194699</v>
      </c>
      <c r="H17" s="852" t="str">
        <f>IF(C35&lt;&gt;0,IF(R27/ABS(C$35)&gt;0.1,"Fondo d'istituto - Altre risorse variabili - F00O",""),"")</f>
        <v/>
      </c>
      <c r="I17" s="874"/>
      <c r="J17" s="874"/>
      <c r="O17" s="2">
        <v>3</v>
      </c>
      <c r="P17" s="2">
        <v>7</v>
      </c>
      <c r="Q17" s="2" t="str">
        <f t="shared" si="0"/>
        <v>F16L</v>
      </c>
      <c r="R17" s="2">
        <f t="shared" si="1"/>
        <v>0</v>
      </c>
      <c r="S17" s="2" t="s">
        <v>624</v>
      </c>
      <c r="T17" s="2"/>
      <c r="U17" s="2"/>
      <c r="V17" s="2"/>
      <c r="W17" s="2"/>
    </row>
    <row r="18" spans="1:23" ht="16.95" customHeight="1" x14ac:dyDescent="0.25">
      <c r="A18" s="126" t="s">
        <v>628</v>
      </c>
      <c r="B18" s="88" t="s">
        <v>629</v>
      </c>
      <c r="C18" s="845"/>
      <c r="D18" s="851"/>
      <c r="E18" s="878"/>
      <c r="F18" s="879"/>
      <c r="G18" s="880"/>
      <c r="H18" s="852" t="str">
        <f>IF(C35&lt;&gt;0,IF(R33/ABS(C$35)&gt;0.1,"Fondo d'istituto - Altre decurtazioni - F01P",""),"")</f>
        <v/>
      </c>
      <c r="I18" s="874"/>
      <c r="J18" s="874"/>
      <c r="O18" s="853">
        <v>3</v>
      </c>
      <c r="P18" s="853">
        <v>7</v>
      </c>
      <c r="Q18" s="853" t="str">
        <f t="shared" si="0"/>
        <v>F00O</v>
      </c>
      <c r="R18" s="853">
        <f t="shared" si="1"/>
        <v>0</v>
      </c>
      <c r="S18" s="853" t="s">
        <v>624</v>
      </c>
      <c r="T18" s="2"/>
      <c r="U18" s="2"/>
      <c r="V18" s="2"/>
      <c r="W18" s="2"/>
    </row>
    <row r="19" spans="1:23" ht="16.95" customHeight="1" thickBot="1" x14ac:dyDescent="0.3">
      <c r="A19" s="854" t="s">
        <v>316</v>
      </c>
      <c r="B19" s="875"/>
      <c r="C19" s="855">
        <f>SUM(C9:C18)</f>
        <v>184393</v>
      </c>
      <c r="D19" s="851"/>
      <c r="E19" s="878"/>
      <c r="F19" s="879"/>
      <c r="G19" s="880"/>
      <c r="H19" s="852" t="str">
        <f>IF(G17&lt;&gt;0,IF(W15/ABS(G17)&gt;0.1,"Fondo d'istituto - Altre destinazioni - U998",""),"")</f>
        <v/>
      </c>
      <c r="I19" s="874"/>
      <c r="J19" s="874"/>
      <c r="O19" s="2"/>
      <c r="P19" s="2"/>
      <c r="Q19" s="2"/>
      <c r="R19" s="2"/>
      <c r="S19" s="2"/>
      <c r="U19" s="2"/>
      <c r="V19" s="2"/>
      <c r="W19" s="2"/>
    </row>
    <row r="20" spans="1:23" ht="16.95" customHeight="1" thickBot="1" x14ac:dyDescent="0.3">
      <c r="A20" s="856" t="s">
        <v>317</v>
      </c>
      <c r="B20" s="857"/>
      <c r="C20" s="858"/>
      <c r="D20" s="851"/>
      <c r="E20" s="878"/>
      <c r="F20" s="879"/>
      <c r="G20" s="880"/>
      <c r="H20" s="881"/>
      <c r="I20" s="874"/>
      <c r="J20" s="874"/>
      <c r="T20" s="2"/>
      <c r="U20" s="2"/>
      <c r="V20" s="2"/>
      <c r="W20" s="2"/>
    </row>
    <row r="21" spans="1:23" ht="16.95" customHeight="1" thickBot="1" x14ac:dyDescent="0.25">
      <c r="A21" s="126" t="s">
        <v>588</v>
      </c>
      <c r="B21" s="88" t="s">
        <v>433</v>
      </c>
      <c r="C21" s="845"/>
      <c r="D21" s="851"/>
      <c r="E21" s="878"/>
      <c r="F21" s="879"/>
      <c r="G21" s="880"/>
      <c r="H21" s="846" t="s">
        <v>638</v>
      </c>
      <c r="I21" s="874"/>
      <c r="J21" s="874"/>
      <c r="O21" s="2">
        <v>3</v>
      </c>
      <c r="P21" s="2">
        <v>9</v>
      </c>
      <c r="Q21" s="2" t="str">
        <f>B21</f>
        <v>F81F</v>
      </c>
      <c r="R21" s="2">
        <f>IF(ISNUMBER(C21),ROUND(C21,0),0)</f>
        <v>0</v>
      </c>
      <c r="S21" s="2" t="s">
        <v>624</v>
      </c>
      <c r="T21" s="2"/>
      <c r="U21" s="2"/>
      <c r="V21" s="2"/>
      <c r="W21" s="2"/>
    </row>
    <row r="22" spans="1:23" ht="16.95" customHeight="1" x14ac:dyDescent="0.2">
      <c r="A22" s="126" t="s">
        <v>499</v>
      </c>
      <c r="B22" s="833" t="s">
        <v>434</v>
      </c>
      <c r="C22" s="845"/>
      <c r="D22" s="851"/>
      <c r="E22" s="878"/>
      <c r="F22" s="879"/>
      <c r="G22" s="880"/>
      <c r="H22" s="1188" t="str">
        <f>IF(SUMIFS($R:$R,$P:$P,"&lt;&gt;81",$O:$O,$Q1)-SUMIFS($R:$R,$P:$P,"81",$O:$O,$Q1)-SUMIF($T:$T,$Q1,$W:$W)&lt;0,"Attenzione, nelle seguenti sezioni le destinazioni risultano superiori alle relative risorse e generano pertanto squadratura 8: "&amp;CHAR(10)&amp;A7,"OK")</f>
        <v>OK</v>
      </c>
      <c r="I22" s="838"/>
      <c r="J22" s="838"/>
      <c r="O22" s="2">
        <v>3</v>
      </c>
      <c r="P22" s="2">
        <v>9</v>
      </c>
      <c r="Q22" s="2" t="str">
        <f t="shared" ref="Q22:Q27" si="4">B22</f>
        <v>F82F</v>
      </c>
      <c r="R22" s="2">
        <f t="shared" ref="R22:R27" si="5">IF(ISNUMBER(C22),ROUND(C22,0),0)</f>
        <v>0</v>
      </c>
      <c r="S22" s="2" t="s">
        <v>624</v>
      </c>
      <c r="T22" s="2"/>
      <c r="U22" s="2"/>
      <c r="V22" s="2"/>
      <c r="W22" s="2"/>
    </row>
    <row r="23" spans="1:23" ht="16.95" customHeight="1" x14ac:dyDescent="0.2">
      <c r="A23" s="126" t="s">
        <v>589</v>
      </c>
      <c r="B23" s="833" t="s">
        <v>435</v>
      </c>
      <c r="C23" s="845"/>
      <c r="D23" s="851"/>
      <c r="E23" s="878"/>
      <c r="F23" s="879"/>
      <c r="G23" s="880"/>
      <c r="H23" s="1191"/>
      <c r="I23" s="882"/>
      <c r="J23" s="882"/>
      <c r="O23" s="2">
        <v>3</v>
      </c>
      <c r="P23" s="2">
        <v>9</v>
      </c>
      <c r="Q23" s="2" t="str">
        <f t="shared" si="4"/>
        <v>F83F</v>
      </c>
      <c r="R23" s="2">
        <f t="shared" si="5"/>
        <v>0</v>
      </c>
      <c r="S23" s="2" t="s">
        <v>624</v>
      </c>
      <c r="T23" s="2"/>
      <c r="U23" s="2"/>
      <c r="V23" s="2"/>
      <c r="W23" s="2"/>
    </row>
    <row r="24" spans="1:23" ht="16.95" customHeight="1" x14ac:dyDescent="0.2">
      <c r="A24" s="859" t="s">
        <v>583</v>
      </c>
      <c r="B24" s="833" t="s">
        <v>496</v>
      </c>
      <c r="C24" s="845"/>
      <c r="D24" s="851"/>
      <c r="E24" s="878"/>
      <c r="F24" s="879"/>
      <c r="G24" s="880"/>
      <c r="H24" s="1191"/>
      <c r="I24" s="838"/>
      <c r="J24" s="838"/>
      <c r="O24" s="2">
        <v>3</v>
      </c>
      <c r="P24" s="2">
        <v>9</v>
      </c>
      <c r="Q24" s="2" t="str">
        <f t="shared" si="4"/>
        <v>F96H</v>
      </c>
      <c r="R24" s="2">
        <f t="shared" si="5"/>
        <v>0</v>
      </c>
      <c r="S24" s="2" t="s">
        <v>624</v>
      </c>
      <c r="T24" s="2"/>
      <c r="U24" s="2"/>
      <c r="V24" s="2"/>
      <c r="W24" s="2"/>
    </row>
    <row r="25" spans="1:23" ht="16.95" customHeight="1" x14ac:dyDescent="0.2">
      <c r="A25" s="859" t="s">
        <v>691</v>
      </c>
      <c r="B25" s="833" t="s">
        <v>679</v>
      </c>
      <c r="C25" s="845"/>
      <c r="D25" s="851"/>
      <c r="E25" s="878"/>
      <c r="F25" s="879"/>
      <c r="G25" s="880"/>
      <c r="H25" s="1191"/>
      <c r="I25" s="838"/>
      <c r="J25" s="838"/>
      <c r="O25" s="2">
        <v>3</v>
      </c>
      <c r="P25" s="2">
        <v>9</v>
      </c>
      <c r="Q25" s="2" t="str">
        <f t="shared" si="4"/>
        <v>F24O</v>
      </c>
      <c r="R25" s="2">
        <f t="shared" si="5"/>
        <v>0</v>
      </c>
      <c r="S25" s="2" t="s">
        <v>624</v>
      </c>
      <c r="T25" s="2"/>
      <c r="U25" s="2"/>
      <c r="V25" s="2"/>
      <c r="W25" s="2"/>
    </row>
    <row r="26" spans="1:23" ht="16.95" customHeight="1" thickBot="1" x14ac:dyDescent="0.25">
      <c r="A26" s="126" t="s">
        <v>680</v>
      </c>
      <c r="B26" s="833" t="s">
        <v>428</v>
      </c>
      <c r="C26" s="845">
        <v>31000</v>
      </c>
      <c r="D26" s="851"/>
      <c r="E26" s="878"/>
      <c r="F26" s="879"/>
      <c r="G26" s="880"/>
      <c r="H26" s="1191"/>
      <c r="I26" s="838"/>
      <c r="J26" s="838"/>
      <c r="O26" s="2">
        <v>3</v>
      </c>
      <c r="P26" s="2">
        <v>9</v>
      </c>
      <c r="Q26" s="2" t="str">
        <f t="shared" si="4"/>
        <v>F999</v>
      </c>
      <c r="R26" s="2">
        <f t="shared" si="5"/>
        <v>31000</v>
      </c>
      <c r="S26" s="2" t="s">
        <v>624</v>
      </c>
      <c r="T26" s="2"/>
      <c r="U26" s="2"/>
      <c r="V26" s="2"/>
      <c r="W26" s="2"/>
    </row>
    <row r="27" spans="1:23" ht="16.95" customHeight="1" x14ac:dyDescent="0.2">
      <c r="A27" s="126" t="s">
        <v>628</v>
      </c>
      <c r="B27" s="88" t="s">
        <v>629</v>
      </c>
      <c r="C27" s="845"/>
      <c r="D27" s="851"/>
      <c r="E27" s="878"/>
      <c r="F27" s="879"/>
      <c r="G27" s="880"/>
      <c r="H27" s="940"/>
      <c r="I27" s="838"/>
      <c r="J27" s="838"/>
      <c r="O27" s="853">
        <v>3</v>
      </c>
      <c r="P27" s="853">
        <v>9</v>
      </c>
      <c r="Q27" s="853" t="str">
        <f t="shared" si="4"/>
        <v>F00O</v>
      </c>
      <c r="R27" s="853">
        <f t="shared" si="5"/>
        <v>0</v>
      </c>
      <c r="S27" s="853" t="s">
        <v>624</v>
      </c>
      <c r="T27" s="2"/>
      <c r="U27" s="2"/>
      <c r="V27" s="2"/>
      <c r="W27" s="2"/>
    </row>
    <row r="28" spans="1:23" ht="16.95" customHeight="1" thickBot="1" x14ac:dyDescent="0.25">
      <c r="A28" s="854" t="s">
        <v>318</v>
      </c>
      <c r="B28" s="875"/>
      <c r="C28" s="855">
        <f>SUM(C21:C27)</f>
        <v>31000</v>
      </c>
      <c r="D28" s="851"/>
      <c r="E28" s="878"/>
      <c r="F28" s="879"/>
      <c r="G28" s="880"/>
      <c r="I28" s="838"/>
      <c r="J28" s="838"/>
      <c r="O28" s="2"/>
      <c r="P28" s="2"/>
      <c r="Q28" s="2"/>
      <c r="R28" s="2"/>
      <c r="S28" s="2"/>
      <c r="T28" s="2"/>
      <c r="U28" s="2"/>
      <c r="V28" s="2"/>
      <c r="W28" s="2"/>
    </row>
    <row r="29" spans="1:23" ht="16.95" customHeight="1" x14ac:dyDescent="0.25">
      <c r="A29" s="860" t="s">
        <v>565</v>
      </c>
      <c r="B29" s="883"/>
      <c r="C29" s="884"/>
      <c r="D29" s="851"/>
      <c r="E29" s="878"/>
      <c r="F29" s="879"/>
      <c r="G29" s="880"/>
      <c r="I29" s="838"/>
      <c r="J29" s="838"/>
      <c r="T29" s="2"/>
      <c r="U29" s="2"/>
      <c r="V29" s="2"/>
      <c r="W29" s="2"/>
    </row>
    <row r="30" spans="1:23" ht="16.95" customHeight="1" x14ac:dyDescent="0.2">
      <c r="A30" s="859" t="s">
        <v>581</v>
      </c>
      <c r="B30" s="861" t="s">
        <v>523</v>
      </c>
      <c r="C30" s="845"/>
      <c r="D30" s="851"/>
      <c r="E30" s="878"/>
      <c r="F30" s="879"/>
      <c r="G30" s="880"/>
      <c r="O30" s="2">
        <v>3</v>
      </c>
      <c r="P30" s="2">
        <v>81</v>
      </c>
      <c r="Q30" s="2" t="str">
        <f>B30</f>
        <v>F27I</v>
      </c>
      <c r="R30" s="2">
        <f>IF(ISNUMBER(C30),ROUND(C30,0),0)</f>
        <v>0</v>
      </c>
      <c r="S30" s="2" t="s">
        <v>624</v>
      </c>
      <c r="T30" s="2"/>
      <c r="U30" s="2"/>
      <c r="V30" s="2"/>
      <c r="W30" s="2"/>
    </row>
    <row r="31" spans="1:23" ht="16.95" customHeight="1" x14ac:dyDescent="0.2">
      <c r="A31" s="859" t="s">
        <v>582</v>
      </c>
      <c r="B31" s="862" t="s">
        <v>566</v>
      </c>
      <c r="C31" s="845"/>
      <c r="D31" s="851"/>
      <c r="E31" s="878"/>
      <c r="F31" s="879"/>
      <c r="G31" s="880"/>
      <c r="K31" s="2"/>
      <c r="L31" s="2"/>
      <c r="M31" s="2"/>
      <c r="N31" s="2"/>
      <c r="O31" s="2">
        <v>3</v>
      </c>
      <c r="P31" s="2">
        <v>81</v>
      </c>
      <c r="Q31" s="2" t="str">
        <f>B31</f>
        <v>F00P</v>
      </c>
      <c r="R31" s="2">
        <f>IF(ISNUMBER(C31),ROUND(C31,0),0)</f>
        <v>0</v>
      </c>
      <c r="S31" s="2" t="s">
        <v>624</v>
      </c>
      <c r="T31" s="2"/>
      <c r="U31" s="2"/>
      <c r="V31" s="2"/>
      <c r="W31" s="2"/>
    </row>
    <row r="32" spans="1:23" ht="16.95" customHeight="1" x14ac:dyDescent="0.2">
      <c r="A32" s="859" t="s">
        <v>579</v>
      </c>
      <c r="B32" s="863" t="s">
        <v>580</v>
      </c>
      <c r="C32" s="845"/>
      <c r="D32" s="851"/>
      <c r="E32" s="878"/>
      <c r="F32" s="879"/>
      <c r="G32" s="880"/>
      <c r="K32" s="2"/>
      <c r="L32" s="2"/>
      <c r="M32" s="2"/>
      <c r="N32" s="2"/>
      <c r="O32" s="2">
        <v>3</v>
      </c>
      <c r="P32" s="2">
        <v>81</v>
      </c>
      <c r="Q32" s="2" t="str">
        <f>B32</f>
        <v>F01S</v>
      </c>
      <c r="R32" s="2">
        <f>IF(ISNUMBER(C32),ROUND(C32,0),0)</f>
        <v>0</v>
      </c>
      <c r="S32" s="2" t="s">
        <v>624</v>
      </c>
      <c r="T32" s="2"/>
    </row>
    <row r="33" spans="1:20" ht="16.95" customHeight="1" x14ac:dyDescent="0.2">
      <c r="A33" s="126" t="s">
        <v>630</v>
      </c>
      <c r="B33" s="88" t="s">
        <v>567</v>
      </c>
      <c r="C33" s="845"/>
      <c r="D33" s="851"/>
      <c r="E33" s="878"/>
      <c r="F33" s="879"/>
      <c r="G33" s="880"/>
      <c r="O33" s="853">
        <v>3</v>
      </c>
      <c r="P33" s="853">
        <v>81</v>
      </c>
      <c r="Q33" s="853" t="str">
        <f>B33</f>
        <v>F01P</v>
      </c>
      <c r="R33" s="853">
        <f>IF(ISNUMBER(C33),ROUND(C33,0),0)</f>
        <v>0</v>
      </c>
      <c r="S33" s="853" t="s">
        <v>624</v>
      </c>
      <c r="T33" s="2"/>
    </row>
    <row r="34" spans="1:20" ht="16.95" customHeight="1" thickBot="1" x14ac:dyDescent="0.3">
      <c r="A34" s="864" t="s">
        <v>568</v>
      </c>
      <c r="B34" s="885"/>
      <c r="C34" s="865">
        <f>SUM(C30:C33)</f>
        <v>0</v>
      </c>
      <c r="D34" s="886"/>
      <c r="E34" s="878"/>
      <c r="F34" s="879"/>
      <c r="G34" s="880"/>
      <c r="O34" s="2" t="s">
        <v>462</v>
      </c>
      <c r="P34" s="2"/>
      <c r="Q34" s="2"/>
      <c r="R34" s="2"/>
      <c r="S34" s="2"/>
    </row>
    <row r="35" spans="1:20" ht="16.95" customHeight="1" thickBot="1" x14ac:dyDescent="0.3">
      <c r="A35" s="849" t="s">
        <v>497</v>
      </c>
      <c r="B35" s="877"/>
      <c r="C35" s="850">
        <f>C19+C28-C34</f>
        <v>215393</v>
      </c>
      <c r="D35" s="886"/>
      <c r="E35" s="887"/>
      <c r="F35" s="888"/>
      <c r="G35" s="889"/>
      <c r="O35" s="2"/>
      <c r="P35" s="2"/>
      <c r="Q35" s="2"/>
      <c r="R35" s="2"/>
      <c r="S35" s="2"/>
    </row>
    <row r="36" spans="1:20" ht="16.95" customHeight="1" thickBot="1" x14ac:dyDescent="0.3">
      <c r="A36" s="866" t="s">
        <v>631</v>
      </c>
      <c r="B36" s="867"/>
      <c r="C36" s="868">
        <f>C35</f>
        <v>215393</v>
      </c>
      <c r="D36" s="886"/>
      <c r="E36" s="869" t="s">
        <v>632</v>
      </c>
      <c r="F36" s="867"/>
      <c r="G36" s="868">
        <f>G17</f>
        <v>194699</v>
      </c>
    </row>
    <row r="37" spans="1:20" ht="4.95" customHeight="1" x14ac:dyDescent="0.2"/>
    <row r="38" spans="1:20" ht="11.4" x14ac:dyDescent="0.2">
      <c r="A38" s="819" t="s">
        <v>681</v>
      </c>
    </row>
    <row r="39" spans="1:20" ht="11.4" x14ac:dyDescent="0.2">
      <c r="A39" s="819" t="s">
        <v>682</v>
      </c>
    </row>
    <row r="40" spans="1:20" ht="11.4" x14ac:dyDescent="0.2">
      <c r="A40" s="819" t="s">
        <v>683</v>
      </c>
    </row>
    <row r="41" spans="1:20" ht="11.4" x14ac:dyDescent="0.2">
      <c r="A41" s="3" t="s">
        <v>684</v>
      </c>
    </row>
    <row r="42" spans="1:20" x14ac:dyDescent="0.2">
      <c r="A42" s="3" t="s">
        <v>685</v>
      </c>
    </row>
  </sheetData>
  <sheetProtection algorithmName="SHA-512" hashValue="8osNCpbtsIlXFhrePurAyPYoOgyFSSsT+68TQQ1DX7pu8LVPH+2bOyOHftdin9qnOEYQlmDMZGyXC8YtBXmWRg==" saltValue="SpKtNGsG7iCXGDECO3yM6w==" spinCount="100000" sheet="1" formatColumns="0" selectLockedCells="1"/>
  <mergeCells count="3">
    <mergeCell ref="H6:H11"/>
    <mergeCell ref="H14:H15"/>
    <mergeCell ref="H22:H26"/>
  </mergeCells>
  <dataValidations count="2">
    <dataValidation type="whole" allowBlank="1" showInputMessage="1" showErrorMessage="1" errorTitle="ERRORE NEL DATO IMMESSO" error="INSERIRE SOLO NUMERI INTERI" sqref="C19 C28:C29 G16:G35 C34:C35" xr:uid="{899EE323-D87E-49AD-A62E-3A038AFAFC36}">
      <formula1>-999999999999</formula1>
      <formula2>999999999999</formula2>
    </dataValidation>
    <dataValidation type="whole" allowBlank="1" showInputMessage="1" showErrorMessage="1" errorTitle="ERRORE NEL DATO IMMESSO" error="INSERIRE SOLO NUMERI INTERI" sqref="C9:C18 C30:C33 C21:C27 G9:G15" xr:uid="{8AD4FA48-BD3F-4D66-9B06-2A22B137A763}">
      <formula1>0</formula1>
      <formula2>999999999999</formula2>
    </dataValidation>
  </dataValidations>
  <printOptions horizontalCentered="1"/>
  <pageMargins left="0.39370078740157483" right="0.39370078740157483" top="0.78740157480314965" bottom="0.39370078740157483" header="0.51181102362204722" footer="0.19685039370078741"/>
  <pageSetup paperSize="9" scale="79" orientation="landscape" horizontalDpi="300" verticalDpi="4294967292"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23"/>
  <sheetViews>
    <sheetView showGridLines="0" zoomScale="80" zoomScaleNormal="80" workbookViewId="0">
      <selection activeCell="D14" sqref="D14:F14"/>
    </sheetView>
  </sheetViews>
  <sheetFormatPr defaultColWidth="9.28515625" defaultRowHeight="15" x14ac:dyDescent="0.25"/>
  <cols>
    <col min="1" max="1" width="10.7109375" style="807" customWidth="1"/>
    <col min="2" max="2" width="8.85546875" style="808" customWidth="1"/>
    <col min="3" max="3" width="2.85546875" style="789" customWidth="1"/>
    <col min="4" max="4" width="180.7109375" style="789" customWidth="1"/>
    <col min="5" max="5" width="2.7109375" style="789" customWidth="1"/>
    <col min="6" max="6" width="20.7109375" style="809" customWidth="1"/>
    <col min="7" max="7" width="50.7109375" style="786" customWidth="1"/>
    <col min="8" max="8" width="12" style="791" customWidth="1"/>
    <col min="9" max="9" width="12" style="929" customWidth="1"/>
    <col min="10" max="10" width="12" style="805" customWidth="1"/>
    <col min="11" max="13" width="12" style="789" hidden="1" customWidth="1"/>
    <col min="14" max="14" width="14" style="789" hidden="1" customWidth="1"/>
    <col min="15" max="15" width="9.28515625" style="789" customWidth="1"/>
    <col min="16" max="16384" width="9.28515625" style="789"/>
  </cols>
  <sheetData>
    <row r="1" spans="1:14" s="896" customFormat="1" ht="35.1" customHeight="1" thickBot="1" x14ac:dyDescent="0.25">
      <c r="A1" s="890"/>
      <c r="B1" s="891"/>
      <c r="C1" s="892"/>
      <c r="D1" s="892"/>
      <c r="E1" s="893"/>
      <c r="F1" s="894"/>
      <c r="G1" s="829" t="s">
        <v>603</v>
      </c>
      <c r="H1" s="895" t="s">
        <v>427</v>
      </c>
      <c r="J1" s="897"/>
    </row>
    <row r="2" spans="1:14" s="896" customFormat="1" ht="35.1" customHeight="1" x14ac:dyDescent="0.4">
      <c r="A2" s="898" t="s">
        <v>604</v>
      </c>
      <c r="B2" s="899"/>
      <c r="C2" s="900"/>
      <c r="D2" s="900"/>
      <c r="E2" s="900"/>
      <c r="F2" s="901"/>
      <c r="G2" s="1192" t="s">
        <v>607</v>
      </c>
      <c r="H2" s="902"/>
      <c r="I2" s="903"/>
      <c r="J2" s="897"/>
    </row>
    <row r="3" spans="1:14" s="904" customFormat="1" ht="35.1" customHeight="1" thickBot="1" x14ac:dyDescent="0.45">
      <c r="A3" s="898" t="s">
        <v>605</v>
      </c>
      <c r="B3" s="899"/>
      <c r="C3" s="931"/>
      <c r="D3" s="931"/>
      <c r="E3" s="932"/>
      <c r="F3" s="933"/>
      <c r="G3" s="1193"/>
      <c r="H3" s="902"/>
      <c r="I3" s="903"/>
      <c r="J3" s="897"/>
    </row>
    <row r="4" spans="1:14" s="911" customFormat="1" ht="35.1" customHeight="1" thickBot="1" x14ac:dyDescent="0.25">
      <c r="A4" s="905"/>
      <c r="B4" s="906"/>
      <c r="C4" s="907"/>
      <c r="D4" s="907"/>
      <c r="E4" s="908"/>
      <c r="F4" s="909"/>
      <c r="G4" s="910" t="s">
        <v>606</v>
      </c>
      <c r="I4" s="912"/>
    </row>
    <row r="5" spans="1:14" s="911" customFormat="1" ht="35.1" customHeight="1" x14ac:dyDescent="0.2">
      <c r="A5" s="913"/>
      <c r="B5" s="914"/>
      <c r="D5" s="915"/>
      <c r="E5" s="915"/>
      <c r="F5" s="916"/>
      <c r="G5" s="1192" t="s">
        <v>607</v>
      </c>
      <c r="I5" s="912"/>
      <c r="J5" s="915"/>
    </row>
    <row r="6" spans="1:14" s="911" customFormat="1" ht="35.1" customHeight="1" thickBot="1" x14ac:dyDescent="0.25">
      <c r="A6" s="917" t="str">
        <f>'t1'!$A$1</f>
        <v>AFAM - anno 2023</v>
      </c>
      <c r="B6" s="918"/>
      <c r="C6" s="919"/>
      <c r="D6" s="919"/>
      <c r="E6" s="919"/>
      <c r="F6" s="919"/>
      <c r="G6" s="1193"/>
      <c r="H6" s="920"/>
      <c r="I6" s="912"/>
    </row>
    <row r="7" spans="1:14" s="911" customFormat="1" ht="35.1" customHeight="1" x14ac:dyDescent="0.2">
      <c r="A7" s="917"/>
      <c r="B7" s="921"/>
      <c r="D7" s="922" t="s">
        <v>621</v>
      </c>
      <c r="H7" s="923"/>
      <c r="I7" s="924"/>
      <c r="J7" s="923"/>
      <c r="N7" s="785" t="s">
        <v>608</v>
      </c>
    </row>
    <row r="8" spans="1:14" s="911" customFormat="1" ht="15" customHeight="1" x14ac:dyDescent="0.2">
      <c r="A8" s="917"/>
      <c r="B8" s="921"/>
      <c r="D8" s="924"/>
      <c r="H8" s="923"/>
      <c r="I8" s="924"/>
      <c r="J8" s="923"/>
      <c r="N8" s="912">
        <f>(COUNTIF(F:F,"&lt;&gt;"&amp;"")+COUNTIF(D14,"&lt;&gt;"&amp;"")+COUNTIF(D17,"&lt;&gt;"&amp;""))</f>
        <v>0</v>
      </c>
    </row>
    <row r="9" spans="1:14" s="911" customFormat="1" ht="10.199999999999999" customHeight="1" x14ac:dyDescent="0.2">
      <c r="A9" s="917"/>
      <c r="B9" s="921"/>
      <c r="D9" s="924"/>
      <c r="H9" s="923"/>
      <c r="I9" s="924"/>
      <c r="J9" s="923"/>
      <c r="N9" s="785"/>
    </row>
    <row r="10" spans="1:14" ht="10.199999999999999" customHeight="1" x14ac:dyDescent="0.25">
      <c r="A10" s="787"/>
      <c r="B10" s="794"/>
      <c r="D10" s="925"/>
      <c r="E10" s="787"/>
      <c r="F10" s="796"/>
      <c r="H10" s="787"/>
      <c r="I10" s="787"/>
      <c r="J10" s="788"/>
    </row>
    <row r="11" spans="1:14" s="791" customFormat="1" ht="30" customHeight="1" x14ac:dyDescent="0.2">
      <c r="A11" s="926" t="s">
        <v>609</v>
      </c>
      <c r="B11" s="926"/>
      <c r="C11" s="927"/>
      <c r="D11" s="927" t="s">
        <v>610</v>
      </c>
      <c r="E11" s="926"/>
      <c r="F11" s="928"/>
      <c r="G11" s="790"/>
      <c r="I11" s="929"/>
      <c r="J11" s="792"/>
    </row>
    <row r="12" spans="1:14" s="791" customFormat="1" ht="4.3499999999999996" customHeight="1" x14ac:dyDescent="0.2">
      <c r="A12" s="797"/>
      <c r="B12" s="798"/>
      <c r="D12" s="795"/>
      <c r="E12" s="795"/>
      <c r="F12" s="799"/>
      <c r="G12" s="790"/>
      <c r="I12" s="929"/>
      <c r="J12" s="792"/>
    </row>
    <row r="13" spans="1:14" s="791" customFormat="1" ht="15.45" customHeight="1" x14ac:dyDescent="0.2">
      <c r="A13" s="793" t="s">
        <v>611</v>
      </c>
      <c r="B13" s="794" t="s">
        <v>364</v>
      </c>
      <c r="D13" s="795" t="s">
        <v>612</v>
      </c>
      <c r="F13" s="799"/>
      <c r="G13" s="790"/>
      <c r="K13" s="800" t="str">
        <f>LEFT(A13,3)</f>
        <v>INF</v>
      </c>
      <c r="L13" s="800" t="str">
        <f>RIGHT(A13,3)</f>
        <v>209</v>
      </c>
      <c r="M13" s="800" t="str">
        <f>B13</f>
        <v>NOTE</v>
      </c>
      <c r="N13" s="791" t="str">
        <f>IF(ISBLANK(D14),"",LEFT(D14,1500))</f>
        <v/>
      </c>
    </row>
    <row r="14" spans="1:14" s="791" customFormat="1" ht="45" customHeight="1" x14ac:dyDescent="0.2">
      <c r="A14" s="930"/>
      <c r="B14" s="801"/>
      <c r="D14" s="1194"/>
      <c r="E14" s="1195"/>
      <c r="F14" s="1196"/>
      <c r="G14" s="802" t="str">
        <f>IF(LEN(D14)&gt;1500,"Attenzione, è stato superato il numero massimo di 1500 caratteri","")</f>
        <v/>
      </c>
      <c r="I14" s="929"/>
    </row>
    <row r="15" spans="1:14" s="791" customFormat="1" ht="15.45" customHeight="1" x14ac:dyDescent="0.2">
      <c r="A15" s="803"/>
      <c r="B15" s="794"/>
      <c r="D15" s="795"/>
      <c r="E15" s="795"/>
      <c r="F15" s="804"/>
      <c r="G15" s="790"/>
      <c r="I15" s="929"/>
      <c r="J15" s="805"/>
    </row>
    <row r="16" spans="1:14" s="791" customFormat="1" ht="15.45" customHeight="1" x14ac:dyDescent="0.2">
      <c r="A16" s="793" t="s">
        <v>613</v>
      </c>
      <c r="B16" s="794" t="s">
        <v>364</v>
      </c>
      <c r="D16" s="795" t="s">
        <v>614</v>
      </c>
      <c r="F16" s="799"/>
      <c r="G16" s="790"/>
      <c r="K16" s="800" t="str">
        <f>LEFT(A16,3)</f>
        <v>INF</v>
      </c>
      <c r="L16" s="800" t="str">
        <f>RIGHT(A16,3)</f>
        <v>127</v>
      </c>
      <c r="M16" s="800" t="str">
        <f>B16</f>
        <v>NOTE</v>
      </c>
      <c r="N16" s="791" t="str">
        <f>IF(ISBLANK(D17),"",LEFT(D17,1500))</f>
        <v/>
      </c>
    </row>
    <row r="17" spans="1:11" s="791" customFormat="1" ht="45" customHeight="1" x14ac:dyDescent="0.2">
      <c r="A17" s="930"/>
      <c r="B17" s="801"/>
      <c r="D17" s="1194"/>
      <c r="E17" s="1195"/>
      <c r="F17" s="1196"/>
      <c r="G17" s="802" t="str">
        <f>IF(LEN(D17)&gt;1500,"Attenzione, è stato superato il numero massimo di 1500 caratteri","")</f>
        <v/>
      </c>
      <c r="I17" s="929"/>
      <c r="K17" s="806" t="s">
        <v>462</v>
      </c>
    </row>
    <row r="18" spans="1:11" ht="4.3499999999999996" customHeight="1" x14ac:dyDescent="0.25"/>
    <row r="20" spans="1:11" ht="45" customHeight="1" x14ac:dyDescent="0.25"/>
    <row r="23" spans="1:11" ht="45" customHeight="1" x14ac:dyDescent="0.25"/>
  </sheetData>
  <sheetProtection algorithmName="SHA-512" hashValue="8z4gRWr9W87dJ1RBhZ/jNTZSEQl/BD4WJc6w71Fetz8r9eI9KvSzhL6XjrTm++4ouoHCEbOC7SNpyCVaFqZyfQ==" saltValue="wG6RjiJx93zcjBV5oxOSGg==" spinCount="100000" sheet="1" formatColumns="0" selectLockedCells="1"/>
  <mergeCells count="4">
    <mergeCell ref="G2:G3"/>
    <mergeCell ref="G5:G6"/>
    <mergeCell ref="D14:F14"/>
    <mergeCell ref="D17:F17"/>
  </mergeCells>
  <dataValidations count="1">
    <dataValidation type="textLength" allowBlank="1" showInputMessage="1" showErrorMessage="1" errorTitle="Errore di digitazione" error="Inserire massimo 1500 caratteri" sqref="D14:F14 D17:F17" xr:uid="{A3C6AFF8-1B3C-4EC0-B09D-1325D7EA5B7B}">
      <formula1>0</formula1>
      <formula2>1500</formula2>
    </dataValidation>
  </dataValidations>
  <printOptions horizontalCentered="1"/>
  <pageMargins left="0.39370078740157483" right="0.39370078740157483" top="0.78740157480314965" bottom="0.39370078740157483" header="0.31496062992125984" footer="0.31496062992125984"/>
  <pageSetup paperSize="9" scale="77"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33"/>
  <sheetViews>
    <sheetView showGridLines="0" zoomScaleNormal="100" workbookViewId="0">
      <pane ySplit="3" topLeftCell="A4" activePane="bottomLeft" state="frozen"/>
      <selection activeCell="E11" sqref="E11"/>
      <selection pane="bottomLeft" activeCell="C22" sqref="C22"/>
    </sheetView>
  </sheetViews>
  <sheetFormatPr defaultRowHeight="10.199999999999999" x14ac:dyDescent="0.2"/>
  <cols>
    <col min="1" max="1" width="87.7109375" customWidth="1"/>
    <col min="2" max="3" width="25.7109375" customWidth="1"/>
    <col min="4" max="4" width="60.7109375" customWidth="1"/>
    <col min="5" max="5" width="9.140625" hidden="1" customWidth="1"/>
    <col min="6" max="6" width="10" customWidth="1"/>
  </cols>
  <sheetData>
    <row r="1" spans="1:12" s="3" customFormat="1" ht="43.5" customHeight="1" x14ac:dyDescent="0.2">
      <c r="A1" s="1097" t="str">
        <f>'t1'!A1</f>
        <v>AFAM - anno 2023</v>
      </c>
      <c r="B1" s="1097"/>
      <c r="C1" s="1197"/>
      <c r="D1" s="1197"/>
      <c r="F1" s="4"/>
      <c r="L1"/>
    </row>
    <row r="2" spans="1:12" ht="30" customHeight="1" thickBot="1" x14ac:dyDescent="0.25">
      <c r="A2" s="1198" t="str">
        <f>IF(B31&gt;0,IF($F$32&gt;0," ","Attenzione: Compilare la presente Tabella"),IF(C31=0," "," "))</f>
        <v xml:space="preserve"> </v>
      </c>
      <c r="B2" s="1198"/>
      <c r="C2" s="1199"/>
      <c r="D2" s="1199"/>
    </row>
    <row r="3" spans="1:12" ht="21.75" customHeight="1" thickBot="1" x14ac:dyDescent="0.25">
      <c r="A3" s="1001" t="s">
        <v>457</v>
      </c>
      <c r="B3" s="1002" t="s">
        <v>458</v>
      </c>
      <c r="C3" s="1002" t="s">
        <v>474</v>
      </c>
      <c r="D3" s="1003" t="s">
        <v>364</v>
      </c>
    </row>
    <row r="4" spans="1:12" s="610" customFormat="1" ht="23.25" customHeight="1" x14ac:dyDescent="0.2">
      <c r="A4" s="1009" t="s">
        <v>459</v>
      </c>
      <c r="B4" s="1010">
        <f>'t12'!J18</f>
        <v>4741964</v>
      </c>
      <c r="C4" s="1200">
        <v>231273</v>
      </c>
      <c r="D4" s="1202" t="s">
        <v>717</v>
      </c>
      <c r="E4" s="610" t="s">
        <v>460</v>
      </c>
    </row>
    <row r="5" spans="1:12" s="610" customFormat="1" ht="23.25" customHeight="1" x14ac:dyDescent="0.2">
      <c r="A5" s="549" t="s">
        <v>461</v>
      </c>
      <c r="B5" s="611">
        <f>'t13'!U18</f>
        <v>1019689</v>
      </c>
      <c r="C5" s="1201"/>
      <c r="D5" s="1203"/>
      <c r="E5" s="610" t="s">
        <v>462</v>
      </c>
    </row>
    <row r="6" spans="1:12" s="610" customFormat="1" ht="23.25" customHeight="1" x14ac:dyDescent="0.2">
      <c r="A6" s="549" t="s">
        <v>463</v>
      </c>
      <c r="B6" s="611">
        <f>'t14'!D4</f>
        <v>0</v>
      </c>
      <c r="C6" s="1201"/>
      <c r="D6" s="1203"/>
      <c r="E6" s="610" t="s">
        <v>462</v>
      </c>
    </row>
    <row r="7" spans="1:12" s="610" customFormat="1" ht="23.25" customHeight="1" x14ac:dyDescent="0.25">
      <c r="A7" s="549" t="s">
        <v>464</v>
      </c>
      <c r="B7" s="611">
        <f>'t14'!D5</f>
        <v>0</v>
      </c>
      <c r="C7" s="1007"/>
      <c r="D7" s="1011"/>
      <c r="E7" s="610" t="s">
        <v>132</v>
      </c>
    </row>
    <row r="8" spans="1:12" s="610" customFormat="1" ht="23.25" customHeight="1" x14ac:dyDescent="0.25">
      <c r="A8" s="549" t="s">
        <v>110</v>
      </c>
      <c r="B8" s="611">
        <f>'t14'!D6</f>
        <v>0</v>
      </c>
      <c r="C8" s="1007"/>
      <c r="D8" s="1011"/>
      <c r="E8" s="610" t="s">
        <v>133</v>
      </c>
    </row>
    <row r="9" spans="1:12" s="610" customFormat="1" ht="23.25" customHeight="1" x14ac:dyDescent="0.25">
      <c r="A9" s="612" t="s">
        <v>114</v>
      </c>
      <c r="B9" s="611">
        <f>'t14'!D7</f>
        <v>6870</v>
      </c>
      <c r="C9" s="1007">
        <v>6870</v>
      </c>
      <c r="D9" s="1011"/>
      <c r="E9" s="610" t="s">
        <v>134</v>
      </c>
    </row>
    <row r="10" spans="1:12" s="610" customFormat="1" ht="23.25" hidden="1" customHeight="1" x14ac:dyDescent="0.2">
      <c r="A10" s="549" t="s">
        <v>113</v>
      </c>
      <c r="B10" s="1008"/>
      <c r="C10" s="1008"/>
      <c r="D10" s="1012"/>
      <c r="E10" s="610" t="s">
        <v>135</v>
      </c>
    </row>
    <row r="11" spans="1:12" s="610" customFormat="1" ht="23.25" hidden="1" customHeight="1" x14ac:dyDescent="0.2">
      <c r="A11" s="549" t="s">
        <v>112</v>
      </c>
      <c r="B11" s="1008"/>
      <c r="C11" s="1008"/>
      <c r="D11" s="1012"/>
      <c r="E11" s="610" t="s">
        <v>136</v>
      </c>
    </row>
    <row r="12" spans="1:12" s="610" customFormat="1" ht="23.25" hidden="1" customHeight="1" x14ac:dyDescent="0.2">
      <c r="A12" s="549" t="s">
        <v>480</v>
      </c>
      <c r="B12" s="1008"/>
      <c r="C12" s="1008"/>
      <c r="D12" s="1012"/>
      <c r="E12" s="610" t="s">
        <v>124</v>
      </c>
    </row>
    <row r="13" spans="1:12" s="610" customFormat="1" ht="23.25" customHeight="1" x14ac:dyDescent="0.25">
      <c r="A13" s="549" t="s">
        <v>481</v>
      </c>
      <c r="B13" s="611">
        <f>'t14'!D23</f>
        <v>0</v>
      </c>
      <c r="C13" s="1007"/>
      <c r="D13" s="1011"/>
      <c r="E13" s="610" t="s">
        <v>123</v>
      </c>
    </row>
    <row r="14" spans="1:12" s="610" customFormat="1" ht="23.25" hidden="1" customHeight="1" x14ac:dyDescent="0.2">
      <c r="A14" s="549" t="s">
        <v>137</v>
      </c>
      <c r="B14" s="1008"/>
      <c r="C14" s="1008"/>
      <c r="D14" s="1012"/>
      <c r="E14" s="610" t="s">
        <v>138</v>
      </c>
    </row>
    <row r="15" spans="1:12" s="610" customFormat="1" ht="23.25" customHeight="1" x14ac:dyDescent="0.25">
      <c r="A15" s="549" t="s">
        <v>662</v>
      </c>
      <c r="B15" s="613">
        <f>'t14'!D12</f>
        <v>334211</v>
      </c>
      <c r="C15" s="1007">
        <v>334211</v>
      </c>
      <c r="D15" s="1011"/>
      <c r="E15" s="610" t="s">
        <v>660</v>
      </c>
    </row>
    <row r="16" spans="1:12" s="610" customFormat="1" ht="23.25" customHeight="1" x14ac:dyDescent="0.25">
      <c r="A16" s="549" t="s">
        <v>663</v>
      </c>
      <c r="B16" s="611">
        <f>'t14'!D13</f>
        <v>27572</v>
      </c>
      <c r="C16" s="1007">
        <v>27572</v>
      </c>
      <c r="D16" s="1011"/>
      <c r="E16" s="610" t="s">
        <v>661</v>
      </c>
    </row>
    <row r="17" spans="1:6" s="610" customFormat="1" ht="23.25" hidden="1" customHeight="1" x14ac:dyDescent="0.2">
      <c r="A17" s="549" t="s">
        <v>465</v>
      </c>
      <c r="B17" s="1008"/>
      <c r="C17" s="1008"/>
      <c r="D17" s="1012"/>
      <c r="E17" s="610" t="s">
        <v>3</v>
      </c>
    </row>
    <row r="18" spans="1:6" ht="23.25" hidden="1" customHeight="1" x14ac:dyDescent="0.2">
      <c r="A18" s="549" t="s">
        <v>87</v>
      </c>
      <c r="B18" s="1008"/>
      <c r="C18" s="1008"/>
      <c r="D18" s="1012"/>
      <c r="E18" t="s">
        <v>139</v>
      </c>
    </row>
    <row r="19" spans="1:6" s="3" customFormat="1" ht="23.25" customHeight="1" x14ac:dyDescent="0.25">
      <c r="A19" s="549" t="s">
        <v>482</v>
      </c>
      <c r="B19" s="611">
        <f>'t14'!D16</f>
        <v>2580</v>
      </c>
      <c r="C19" s="1007">
        <v>2580</v>
      </c>
      <c r="D19" s="1011"/>
      <c r="E19" s="3" t="s">
        <v>121</v>
      </c>
    </row>
    <row r="20" spans="1:6" ht="23.25" hidden="1" customHeight="1" x14ac:dyDescent="0.2">
      <c r="A20" s="549" t="s">
        <v>330</v>
      </c>
      <c r="B20" s="1008"/>
      <c r="C20" s="1008"/>
      <c r="D20" s="1012"/>
      <c r="E20" s="610" t="s">
        <v>122</v>
      </c>
    </row>
    <row r="21" spans="1:6" ht="23.25" hidden="1" customHeight="1" x14ac:dyDescent="0.2">
      <c r="A21" s="549" t="s">
        <v>111</v>
      </c>
      <c r="B21" s="1008"/>
      <c r="C21" s="1008"/>
      <c r="D21" s="1012"/>
      <c r="E21" s="610" t="s">
        <v>131</v>
      </c>
    </row>
    <row r="22" spans="1:6" ht="23.25" customHeight="1" x14ac:dyDescent="0.25">
      <c r="A22" s="549" t="s">
        <v>487</v>
      </c>
      <c r="B22" s="611">
        <f>'t14'!D19</f>
        <v>1703</v>
      </c>
      <c r="C22" s="1007"/>
      <c r="D22" s="1011"/>
      <c r="E22" s="610" t="s">
        <v>488</v>
      </c>
    </row>
    <row r="23" spans="1:6" ht="23.25" customHeight="1" x14ac:dyDescent="0.25">
      <c r="A23" s="549" t="s">
        <v>466</v>
      </c>
      <c r="B23" s="611">
        <f>'t14'!D20</f>
        <v>1683312</v>
      </c>
      <c r="C23" s="1007">
        <v>44843</v>
      </c>
      <c r="D23" s="1011" t="s">
        <v>717</v>
      </c>
      <c r="E23" s="610" t="s">
        <v>127</v>
      </c>
    </row>
    <row r="24" spans="1:6" ht="23.25" hidden="1" customHeight="1" x14ac:dyDescent="0.2">
      <c r="A24" s="549" t="s">
        <v>483</v>
      </c>
      <c r="B24" s="1008"/>
      <c r="C24" s="1008"/>
      <c r="D24" s="1012"/>
      <c r="E24" s="610" t="s">
        <v>128</v>
      </c>
    </row>
    <row r="25" spans="1:6" ht="23.25" customHeight="1" x14ac:dyDescent="0.25">
      <c r="A25" s="549" t="s">
        <v>467</v>
      </c>
      <c r="B25" s="611">
        <f>'t14'!D22</f>
        <v>480340</v>
      </c>
      <c r="C25" s="1007">
        <v>15555</v>
      </c>
      <c r="D25" s="1011" t="s">
        <v>717</v>
      </c>
      <c r="E25" s="610" t="s">
        <v>129</v>
      </c>
    </row>
    <row r="26" spans="1:6" ht="23.25" customHeight="1" x14ac:dyDescent="0.25">
      <c r="A26" s="614" t="s">
        <v>484</v>
      </c>
      <c r="B26" s="611">
        <f>'t14'!D24</f>
        <v>0</v>
      </c>
      <c r="C26" s="1007"/>
      <c r="D26" s="1011"/>
      <c r="E26" s="610" t="s">
        <v>125</v>
      </c>
    </row>
    <row r="27" spans="1:6" ht="23.25" customHeight="1" thickBot="1" x14ac:dyDescent="0.3">
      <c r="A27" s="550" t="s">
        <v>468</v>
      </c>
      <c r="B27" s="615">
        <f>'t14'!D25+'t14'!D26</f>
        <v>0</v>
      </c>
      <c r="C27" s="694"/>
      <c r="D27" s="1013"/>
      <c r="E27" s="610" t="s">
        <v>469</v>
      </c>
    </row>
    <row r="28" spans="1:6" ht="16.2" customHeight="1" thickBot="1" x14ac:dyDescent="0.25">
      <c r="A28" s="1004" t="s">
        <v>470</v>
      </c>
      <c r="B28" s="1005">
        <f>SUM(B4:B27)</f>
        <v>8298241</v>
      </c>
      <c r="C28" s="1005">
        <f>SUM(C4:C27)</f>
        <v>662904</v>
      </c>
      <c r="D28" s="1006"/>
      <c r="E28" s="610" t="s">
        <v>462</v>
      </c>
    </row>
    <row r="29" spans="1:6" ht="16.2" customHeight="1" x14ac:dyDescent="0.2">
      <c r="A29" s="618"/>
      <c r="B29" s="619"/>
      <c r="C29" s="618"/>
      <c r="D29" s="620"/>
      <c r="E29" s="610" t="s">
        <v>462</v>
      </c>
    </row>
    <row r="30" spans="1:6" ht="23.25" customHeight="1" thickBot="1" x14ac:dyDescent="0.3">
      <c r="A30" s="621" t="s">
        <v>471</v>
      </c>
      <c r="B30" s="611">
        <f>'t14'!D27+'t14'!D28+'t14'!D29</f>
        <v>0</v>
      </c>
      <c r="C30" s="694"/>
      <c r="D30" s="695"/>
      <c r="E30" s="610" t="s">
        <v>472</v>
      </c>
    </row>
    <row r="31" spans="1:6" ht="16.2" customHeight="1" thickBot="1" x14ac:dyDescent="0.25">
      <c r="A31" s="616" t="s">
        <v>473</v>
      </c>
      <c r="B31" s="617">
        <f>B28-B30</f>
        <v>8298241</v>
      </c>
      <c r="C31" s="617">
        <f>C28-C30</f>
        <v>662904</v>
      </c>
      <c r="D31" s="622"/>
      <c r="E31" s="623"/>
    </row>
    <row r="32" spans="1:6" x14ac:dyDescent="0.2">
      <c r="F32">
        <f>IF(AND(C28=0,C30=0,D4="",D7="",D8="",D9="",D10="",D11="",D12="",D13="",D14="",D15="",D16="",D17="",D18="",D19="",D20="",D21="",D23="",D24="",D25="",D26="",D27="",D30=""),0,1)</f>
        <v>1</v>
      </c>
    </row>
    <row r="33" spans="1:1" ht="11.7" customHeight="1" x14ac:dyDescent="0.2">
      <c r="A33" s="624" t="s">
        <v>146</v>
      </c>
    </row>
  </sheetData>
  <sheetProtection algorithmName="SHA-512" hashValue="62HtAV34UF9sIUrAy+b3+ojglmFS1b5NU6wHh9qh2IHU+oRRHbTAwl/arpMY5nqL/pBCyj1323QBSliI3ege4g==" saltValue="tGT/ueDQVMjXu9OF8qJQ+w==" spinCount="100000" sheet="1" formatColumns="0" selectLockedCells="1"/>
  <mergeCells count="4">
    <mergeCell ref="A1:D1"/>
    <mergeCell ref="A2:D2"/>
    <mergeCell ref="C4:C6"/>
    <mergeCell ref="D4:D6"/>
  </mergeCells>
  <dataValidations count="2">
    <dataValidation type="textLength" allowBlank="1" showInputMessage="1" showErrorMessage="1" errorTitle="ATTENZIONE ! ! !" error="E' stato superato il limite di 500 caratteri" sqref="D27" xr:uid="{00000000-0002-0000-1300-000000000000}">
      <formula1>0</formula1>
      <formula2>500</formula2>
    </dataValidation>
    <dataValidation type="textLength" allowBlank="1" showInputMessage="1" showErrorMessage="1" errorTitle="ATTENZIONE ! ! ! " error="E' stato superato il limite di 500 caratteri" sqref="D4:D9 D15:D16 D19 D22:D23 D25:D26 D13" xr:uid="{00000000-0002-0000-1300-000001000000}">
      <formula1>0</formula1>
      <formula2>500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8"/>
  <dimension ref="A1:AJ21"/>
  <sheetViews>
    <sheetView showGridLines="0" zoomScaleNormal="100" workbookViewId="0">
      <pane xSplit="2" ySplit="5" topLeftCell="M6" activePane="bottomRight" state="frozen"/>
      <selection activeCell="E11" sqref="E11"/>
      <selection pane="topRight" activeCell="E11" sqref="E11"/>
      <selection pane="bottomLeft" activeCell="E11" sqref="E11"/>
      <selection pane="bottomRight" activeCell="AD11" sqref="AD11"/>
    </sheetView>
  </sheetViews>
  <sheetFormatPr defaultColWidth="9.28515625" defaultRowHeight="10.199999999999999" x14ac:dyDescent="0.2"/>
  <cols>
    <col min="1" max="1" width="63.7109375" style="3" customWidth="1"/>
    <col min="2" max="2" width="9.7109375" style="2" customWidth="1"/>
    <col min="3" max="12" width="12.140625" style="3" hidden="1" customWidth="1"/>
    <col min="13" max="13" width="9.28515625" style="679" hidden="1" customWidth="1"/>
    <col min="14" max="26" width="9.28515625" style="3" hidden="1" customWidth="1"/>
    <col min="27" max="36" width="12.140625" style="3" customWidth="1"/>
    <col min="37" max="16384" width="9.28515625" style="3"/>
  </cols>
  <sheetData>
    <row r="1" spans="1:36" ht="24.75" customHeight="1" thickBot="1" x14ac:dyDescent="0.25">
      <c r="A1" s="722" t="str">
        <f>"AFAM"&amp;" - anno "&amp;$L$1</f>
        <v>AFAM - anno 2023</v>
      </c>
      <c r="B1" s="722"/>
      <c r="C1" s="722"/>
      <c r="D1" s="722"/>
      <c r="E1" s="722"/>
      <c r="F1" s="722"/>
      <c r="G1" s="722"/>
      <c r="H1" s="722"/>
      <c r="I1" s="722"/>
      <c r="J1" s="722"/>
      <c r="K1" s="268"/>
      <c r="L1" s="578">
        <v>2023</v>
      </c>
      <c r="AI1" s="268"/>
    </row>
    <row r="2" spans="1:36" ht="30" customHeight="1" thickBot="1" x14ac:dyDescent="0.25">
      <c r="A2" s="5"/>
      <c r="G2" s="1084"/>
      <c r="H2" s="1085"/>
      <c r="I2" s="1085"/>
      <c r="J2" s="1085"/>
      <c r="K2" s="1085"/>
      <c r="L2" s="1086"/>
      <c r="AE2" s="774"/>
      <c r="AF2" s="774"/>
      <c r="AG2" s="774"/>
      <c r="AH2" s="774"/>
      <c r="AI2" s="774"/>
      <c r="AJ2" s="774"/>
    </row>
    <row r="3" spans="1:36" ht="15" customHeight="1" thickBot="1" x14ac:dyDescent="0.25">
      <c r="A3" s="317"/>
      <c r="B3" s="318"/>
      <c r="C3" s="1079" t="s">
        <v>51</v>
      </c>
      <c r="D3" s="1079"/>
      <c r="E3" s="1079"/>
      <c r="F3" s="1079"/>
      <c r="G3" s="1080"/>
      <c r="H3" s="1080"/>
      <c r="I3" s="1080"/>
      <c r="J3" s="1080"/>
      <c r="K3" s="1080"/>
      <c r="L3" s="1081"/>
      <c r="AA3" s="1076" t="s">
        <v>51</v>
      </c>
      <c r="AB3" s="1077"/>
      <c r="AC3" s="1077"/>
      <c r="AD3" s="1077"/>
      <c r="AE3" s="1077"/>
      <c r="AF3" s="1077"/>
      <c r="AG3" s="1077"/>
      <c r="AH3" s="1077"/>
      <c r="AI3" s="1077"/>
      <c r="AJ3" s="1078"/>
    </row>
    <row r="4" spans="1:36" ht="21" thickTop="1" x14ac:dyDescent="0.2">
      <c r="A4" s="678" t="s">
        <v>103</v>
      </c>
      <c r="B4" s="1082" t="s">
        <v>52</v>
      </c>
      <c r="C4" s="14" t="str">
        <f>"Totale dipendenti al 31/12/"&amp;L1-1&amp;" (*)"</f>
        <v>Totale dipendenti al 31/12/2022 (*)</v>
      </c>
      <c r="D4" s="13"/>
      <c r="E4" s="12" t="s">
        <v>56</v>
      </c>
      <c r="F4" s="13"/>
      <c r="G4" s="14" t="s">
        <v>95</v>
      </c>
      <c r="H4" s="13"/>
      <c r="I4" s="14" t="s">
        <v>96</v>
      </c>
      <c r="J4" s="13"/>
      <c r="K4" s="14" t="str">
        <f>"Totale dipendenti al 31/12/"&amp;L1&amp;" (**)"</f>
        <v>Totale dipendenti al 31/12/2023 (**)</v>
      </c>
      <c r="L4" s="254"/>
      <c r="AA4" s="771" t="str">
        <f>"Totale dipendenti al 31/12/"&amp;L1-1&amp;" (*)"</f>
        <v>Totale dipendenti al 31/12/2022 (*)</v>
      </c>
      <c r="AB4" s="772"/>
      <c r="AC4" s="773" t="s">
        <v>56</v>
      </c>
      <c r="AD4" s="772"/>
      <c r="AE4" s="771" t="s">
        <v>95</v>
      </c>
      <c r="AF4" s="772"/>
      <c r="AG4" s="771" t="s">
        <v>96</v>
      </c>
      <c r="AH4" s="772"/>
      <c r="AI4" s="771" t="str">
        <f>"Totale dipendenti al 31/12/"&amp;L1&amp;" (**)"</f>
        <v>Totale dipendenti al 31/12/2023 (**)</v>
      </c>
      <c r="AJ4" s="254"/>
    </row>
    <row r="5" spans="1:36" ht="10.8" thickBot="1" x14ac:dyDescent="0.25">
      <c r="A5" s="681" t="s">
        <v>519</v>
      </c>
      <c r="B5" s="1083"/>
      <c r="C5" s="208" t="s">
        <v>53</v>
      </c>
      <c r="D5" s="209" t="s">
        <v>54</v>
      </c>
      <c r="E5" s="208" t="s">
        <v>53</v>
      </c>
      <c r="F5" s="209" t="s">
        <v>54</v>
      </c>
      <c r="G5" s="208" t="s">
        <v>53</v>
      </c>
      <c r="H5" s="209" t="s">
        <v>54</v>
      </c>
      <c r="I5" s="208" t="s">
        <v>53</v>
      </c>
      <c r="J5" s="209" t="s">
        <v>54</v>
      </c>
      <c r="K5" s="208" t="s">
        <v>53</v>
      </c>
      <c r="L5" s="255" t="s">
        <v>54</v>
      </c>
      <c r="AA5" s="208" t="s">
        <v>53</v>
      </c>
      <c r="AB5" s="209" t="s">
        <v>54</v>
      </c>
      <c r="AC5" s="208" t="s">
        <v>53</v>
      </c>
      <c r="AD5" s="209" t="s">
        <v>54</v>
      </c>
      <c r="AE5" s="208" t="s">
        <v>53</v>
      </c>
      <c r="AF5" s="209" t="s">
        <v>54</v>
      </c>
      <c r="AG5" s="208" t="s">
        <v>53</v>
      </c>
      <c r="AH5" s="209" t="s">
        <v>54</v>
      </c>
      <c r="AI5" s="208" t="s">
        <v>53</v>
      </c>
      <c r="AJ5" s="255" t="s">
        <v>54</v>
      </c>
    </row>
    <row r="6" spans="1:36" ht="12.75" customHeight="1" thickTop="1" x14ac:dyDescent="0.2">
      <c r="A6" s="126" t="s">
        <v>381</v>
      </c>
      <c r="B6" s="311" t="s">
        <v>382</v>
      </c>
      <c r="C6" s="696">
        <f>ROUND(AA6,0)</f>
        <v>75</v>
      </c>
      <c r="D6" s="697">
        <f t="shared" ref="D6:D17" si="0">ROUND(AB6,0)</f>
        <v>18</v>
      </c>
      <c r="E6" s="698">
        <f t="shared" ref="E6:E17" si="1">ROUND(AC6,0)</f>
        <v>68</v>
      </c>
      <c r="F6" s="699">
        <f t="shared" ref="F6:F17" si="2">ROUND(AD6,0)</f>
        <v>21</v>
      </c>
      <c r="G6" s="698">
        <f t="shared" ref="G6:G17" si="3">ROUND(AE6,0)</f>
        <v>0</v>
      </c>
      <c r="H6" s="699">
        <f t="shared" ref="H6:H17" si="4">ROUND(AF6,0)</f>
        <v>0</v>
      </c>
      <c r="I6" s="698">
        <f t="shared" ref="I6:I17" si="5">ROUND(AG6,0)</f>
        <v>0</v>
      </c>
      <c r="J6" s="699">
        <f t="shared" ref="J6:J17" si="6">ROUND(AH6,0)</f>
        <v>0</v>
      </c>
      <c r="K6" s="360">
        <f t="shared" ref="K6:K17" si="7">ROUND(AI6,0)</f>
        <v>68</v>
      </c>
      <c r="L6" s="361">
        <f t="shared" ref="L6:L17" si="8">ROUND(AJ6,0)</f>
        <v>21</v>
      </c>
      <c r="M6" s="680">
        <f>K6+L6</f>
        <v>89</v>
      </c>
      <c r="AA6" s="280">
        <v>75</v>
      </c>
      <c r="AB6" s="281">
        <v>18</v>
      </c>
      <c r="AC6" s="174">
        <v>68</v>
      </c>
      <c r="AD6" s="215">
        <v>21</v>
      </c>
      <c r="AE6" s="174"/>
      <c r="AF6" s="215"/>
      <c r="AG6" s="174"/>
      <c r="AH6" s="215"/>
      <c r="AI6" s="360">
        <f>AC6+AE6+AG6</f>
        <v>68</v>
      </c>
      <c r="AJ6" s="361">
        <f>AD6+AF6+AH6</f>
        <v>21</v>
      </c>
    </row>
    <row r="7" spans="1:36" ht="12.75" customHeight="1" x14ac:dyDescent="0.2">
      <c r="A7" s="126" t="s">
        <v>383</v>
      </c>
      <c r="B7" s="312" t="s">
        <v>384</v>
      </c>
      <c r="C7" s="696">
        <f t="shared" ref="C7:C17" si="9">ROUND(AA7,0)</f>
        <v>0</v>
      </c>
      <c r="D7" s="697">
        <f t="shared" si="0"/>
        <v>0</v>
      </c>
      <c r="E7" s="698">
        <f t="shared" si="1"/>
        <v>0</v>
      </c>
      <c r="F7" s="699">
        <f t="shared" si="2"/>
        <v>0</v>
      </c>
      <c r="G7" s="698">
        <f t="shared" si="3"/>
        <v>0</v>
      </c>
      <c r="H7" s="699">
        <f t="shared" si="4"/>
        <v>0</v>
      </c>
      <c r="I7" s="698">
        <f t="shared" si="5"/>
        <v>0</v>
      </c>
      <c r="J7" s="699">
        <f t="shared" si="6"/>
        <v>0</v>
      </c>
      <c r="K7" s="360">
        <f t="shared" si="7"/>
        <v>0</v>
      </c>
      <c r="L7" s="361">
        <f t="shared" si="8"/>
        <v>0</v>
      </c>
      <c r="M7" s="680">
        <f t="shared" ref="M7:M17" si="10">K7+L7</f>
        <v>0</v>
      </c>
      <c r="AA7" s="280"/>
      <c r="AB7" s="281"/>
      <c r="AC7" s="174"/>
      <c r="AD7" s="215"/>
      <c r="AE7" s="174"/>
      <c r="AF7" s="215"/>
      <c r="AG7" s="174"/>
      <c r="AH7" s="215"/>
      <c r="AI7" s="360">
        <f t="shared" ref="AI7:AI17" si="11">AC7+AE7+AG7</f>
        <v>0</v>
      </c>
      <c r="AJ7" s="361">
        <f t="shared" ref="AJ7:AJ17" si="12">AD7+AF7+AH7</f>
        <v>0</v>
      </c>
    </row>
    <row r="8" spans="1:36" ht="12.75" customHeight="1" x14ac:dyDescent="0.2">
      <c r="A8" s="126" t="s">
        <v>385</v>
      </c>
      <c r="B8" s="312" t="s">
        <v>386</v>
      </c>
      <c r="C8" s="696">
        <f t="shared" si="9"/>
        <v>0</v>
      </c>
      <c r="D8" s="697">
        <f t="shared" si="0"/>
        <v>0</v>
      </c>
      <c r="E8" s="698">
        <f t="shared" si="1"/>
        <v>0</v>
      </c>
      <c r="F8" s="699">
        <f t="shared" si="2"/>
        <v>0</v>
      </c>
      <c r="G8" s="698">
        <f t="shared" si="3"/>
        <v>0</v>
      </c>
      <c r="H8" s="699">
        <f t="shared" si="4"/>
        <v>0</v>
      </c>
      <c r="I8" s="698">
        <f t="shared" si="5"/>
        <v>0</v>
      </c>
      <c r="J8" s="699">
        <f t="shared" si="6"/>
        <v>0</v>
      </c>
      <c r="K8" s="360">
        <f t="shared" si="7"/>
        <v>0</v>
      </c>
      <c r="L8" s="361">
        <f t="shared" si="8"/>
        <v>0</v>
      </c>
      <c r="M8" s="680">
        <f t="shared" si="10"/>
        <v>0</v>
      </c>
      <c r="AA8" s="280"/>
      <c r="AB8" s="281"/>
      <c r="AC8" s="174"/>
      <c r="AD8" s="215"/>
      <c r="AE8" s="174"/>
      <c r="AF8" s="215"/>
      <c r="AG8" s="174"/>
      <c r="AH8" s="215"/>
      <c r="AI8" s="360">
        <f t="shared" si="11"/>
        <v>0</v>
      </c>
      <c r="AJ8" s="361">
        <f t="shared" si="12"/>
        <v>0</v>
      </c>
    </row>
    <row r="9" spans="1:36" ht="12.75" customHeight="1" x14ac:dyDescent="0.2">
      <c r="A9" s="126" t="s">
        <v>590</v>
      </c>
      <c r="B9" s="312" t="s">
        <v>387</v>
      </c>
      <c r="C9" s="696">
        <f t="shared" si="9"/>
        <v>0</v>
      </c>
      <c r="D9" s="697">
        <f t="shared" si="0"/>
        <v>1</v>
      </c>
      <c r="E9" s="698">
        <f t="shared" si="1"/>
        <v>0</v>
      </c>
      <c r="F9" s="699">
        <f t="shared" si="2"/>
        <v>1</v>
      </c>
      <c r="G9" s="698">
        <f t="shared" si="3"/>
        <v>0</v>
      </c>
      <c r="H9" s="699">
        <f t="shared" si="4"/>
        <v>0</v>
      </c>
      <c r="I9" s="698">
        <f t="shared" si="5"/>
        <v>0</v>
      </c>
      <c r="J9" s="699">
        <f t="shared" si="6"/>
        <v>0</v>
      </c>
      <c r="K9" s="360">
        <f t="shared" si="7"/>
        <v>0</v>
      </c>
      <c r="L9" s="361">
        <f t="shared" si="8"/>
        <v>1</v>
      </c>
      <c r="M9" s="680">
        <f t="shared" si="10"/>
        <v>1</v>
      </c>
      <c r="AA9" s="280"/>
      <c r="AB9" s="281">
        <v>1</v>
      </c>
      <c r="AC9" s="174"/>
      <c r="AD9" s="215">
        <v>1</v>
      </c>
      <c r="AE9" s="174"/>
      <c r="AF9" s="215"/>
      <c r="AG9" s="174"/>
      <c r="AH9" s="215"/>
      <c r="AI9" s="360">
        <f t="shared" si="11"/>
        <v>0</v>
      </c>
      <c r="AJ9" s="361">
        <f t="shared" si="12"/>
        <v>1</v>
      </c>
    </row>
    <row r="10" spans="1:36" ht="12.75" customHeight="1" x14ac:dyDescent="0.2">
      <c r="A10" s="126" t="s">
        <v>591</v>
      </c>
      <c r="B10" s="312" t="s">
        <v>388</v>
      </c>
      <c r="C10" s="696">
        <f t="shared" si="9"/>
        <v>3</v>
      </c>
      <c r="D10" s="697">
        <f t="shared" si="0"/>
        <v>9</v>
      </c>
      <c r="E10" s="698">
        <f t="shared" si="1"/>
        <v>4</v>
      </c>
      <c r="F10" s="699">
        <f t="shared" si="2"/>
        <v>9</v>
      </c>
      <c r="G10" s="698">
        <f t="shared" si="3"/>
        <v>0</v>
      </c>
      <c r="H10" s="699">
        <f t="shared" si="4"/>
        <v>0</v>
      </c>
      <c r="I10" s="698">
        <f t="shared" si="5"/>
        <v>0</v>
      </c>
      <c r="J10" s="699">
        <f t="shared" si="6"/>
        <v>0</v>
      </c>
      <c r="K10" s="360">
        <f t="shared" si="7"/>
        <v>4</v>
      </c>
      <c r="L10" s="361">
        <f t="shared" si="8"/>
        <v>9</v>
      </c>
      <c r="M10" s="680">
        <f t="shared" si="10"/>
        <v>13</v>
      </c>
      <c r="AA10" s="280">
        <v>3</v>
      </c>
      <c r="AB10" s="281">
        <v>9</v>
      </c>
      <c r="AC10" s="174">
        <v>4</v>
      </c>
      <c r="AD10" s="215">
        <v>9</v>
      </c>
      <c r="AE10" s="174"/>
      <c r="AF10" s="215"/>
      <c r="AG10" s="174"/>
      <c r="AH10" s="215"/>
      <c r="AI10" s="360">
        <f t="shared" si="11"/>
        <v>4</v>
      </c>
      <c r="AJ10" s="361">
        <f t="shared" si="12"/>
        <v>9</v>
      </c>
    </row>
    <row r="11" spans="1:36" ht="12.75" customHeight="1" x14ac:dyDescent="0.2">
      <c r="A11" s="126" t="s">
        <v>592</v>
      </c>
      <c r="B11" s="312" t="s">
        <v>389</v>
      </c>
      <c r="C11" s="696">
        <f t="shared" si="9"/>
        <v>1</v>
      </c>
      <c r="D11" s="697">
        <f t="shared" si="0"/>
        <v>12</v>
      </c>
      <c r="E11" s="698">
        <f t="shared" si="1"/>
        <v>1</v>
      </c>
      <c r="F11" s="699">
        <f t="shared" si="2"/>
        <v>13</v>
      </c>
      <c r="G11" s="698">
        <f t="shared" si="3"/>
        <v>0</v>
      </c>
      <c r="H11" s="699">
        <f t="shared" si="4"/>
        <v>0</v>
      </c>
      <c r="I11" s="698">
        <f t="shared" si="5"/>
        <v>0</v>
      </c>
      <c r="J11" s="699">
        <f t="shared" si="6"/>
        <v>0</v>
      </c>
      <c r="K11" s="360">
        <f t="shared" si="7"/>
        <v>1</v>
      </c>
      <c r="L11" s="361">
        <f t="shared" si="8"/>
        <v>13</v>
      </c>
      <c r="M11" s="680">
        <f t="shared" si="10"/>
        <v>14</v>
      </c>
      <c r="AA11" s="280">
        <v>1</v>
      </c>
      <c r="AB11" s="281">
        <v>12</v>
      </c>
      <c r="AC11" s="174">
        <v>1</v>
      </c>
      <c r="AD11" s="215">
        <v>13</v>
      </c>
      <c r="AE11" s="174"/>
      <c r="AF11" s="215"/>
      <c r="AG11" s="174"/>
      <c r="AH11" s="215"/>
      <c r="AI11" s="360">
        <f t="shared" si="11"/>
        <v>1</v>
      </c>
      <c r="AJ11" s="361">
        <f t="shared" si="12"/>
        <v>13</v>
      </c>
    </row>
    <row r="12" spans="1:36" ht="12.75" customHeight="1" x14ac:dyDescent="0.2">
      <c r="A12" s="126" t="s">
        <v>390</v>
      </c>
      <c r="B12" s="312" t="s">
        <v>391</v>
      </c>
      <c r="C12" s="696">
        <f t="shared" si="9"/>
        <v>5</v>
      </c>
      <c r="D12" s="697">
        <f t="shared" si="0"/>
        <v>3</v>
      </c>
      <c r="E12" s="698">
        <f t="shared" si="1"/>
        <v>14</v>
      </c>
      <c r="F12" s="699">
        <f t="shared" si="2"/>
        <v>7</v>
      </c>
      <c r="G12" s="698">
        <f t="shared" si="3"/>
        <v>0</v>
      </c>
      <c r="H12" s="699">
        <f t="shared" si="4"/>
        <v>0</v>
      </c>
      <c r="I12" s="698">
        <f t="shared" si="5"/>
        <v>0</v>
      </c>
      <c r="J12" s="699">
        <f t="shared" si="6"/>
        <v>0</v>
      </c>
      <c r="K12" s="360">
        <f t="shared" si="7"/>
        <v>14</v>
      </c>
      <c r="L12" s="361">
        <f t="shared" si="8"/>
        <v>7</v>
      </c>
      <c r="M12" s="680">
        <f t="shared" si="10"/>
        <v>21</v>
      </c>
      <c r="AA12" s="280">
        <v>5</v>
      </c>
      <c r="AB12" s="281">
        <v>3</v>
      </c>
      <c r="AC12" s="174">
        <v>14</v>
      </c>
      <c r="AD12" s="215">
        <v>7</v>
      </c>
      <c r="AE12" s="174"/>
      <c r="AF12" s="215"/>
      <c r="AG12" s="174"/>
      <c r="AH12" s="215"/>
      <c r="AI12" s="360">
        <f t="shared" si="11"/>
        <v>14</v>
      </c>
      <c r="AJ12" s="361">
        <f t="shared" si="12"/>
        <v>7</v>
      </c>
    </row>
    <row r="13" spans="1:36" ht="12.75" customHeight="1" x14ac:dyDescent="0.2">
      <c r="A13" s="126" t="s">
        <v>392</v>
      </c>
      <c r="B13" s="312" t="s">
        <v>393</v>
      </c>
      <c r="C13" s="696">
        <f t="shared" si="9"/>
        <v>1</v>
      </c>
      <c r="D13" s="697">
        <f t="shared" si="0"/>
        <v>0</v>
      </c>
      <c r="E13" s="698">
        <f t="shared" si="1"/>
        <v>1</v>
      </c>
      <c r="F13" s="699">
        <f t="shared" si="2"/>
        <v>0</v>
      </c>
      <c r="G13" s="698">
        <f t="shared" si="3"/>
        <v>0</v>
      </c>
      <c r="H13" s="699">
        <f t="shared" si="4"/>
        <v>0</v>
      </c>
      <c r="I13" s="698">
        <f t="shared" si="5"/>
        <v>0</v>
      </c>
      <c r="J13" s="699">
        <f t="shared" si="6"/>
        <v>0</v>
      </c>
      <c r="K13" s="360">
        <f t="shared" si="7"/>
        <v>1</v>
      </c>
      <c r="L13" s="361">
        <f t="shared" si="8"/>
        <v>0</v>
      </c>
      <c r="M13" s="680">
        <f t="shared" si="10"/>
        <v>1</v>
      </c>
      <c r="AA13" s="280">
        <v>1</v>
      </c>
      <c r="AB13" s="281"/>
      <c r="AC13" s="174">
        <v>1</v>
      </c>
      <c r="AD13" s="215"/>
      <c r="AE13" s="174"/>
      <c r="AF13" s="215"/>
      <c r="AG13" s="174"/>
      <c r="AH13" s="215"/>
      <c r="AI13" s="360">
        <f t="shared" si="11"/>
        <v>1</v>
      </c>
      <c r="AJ13" s="361">
        <f t="shared" si="12"/>
        <v>0</v>
      </c>
    </row>
    <row r="14" spans="1:36" ht="12.75" customHeight="1" x14ac:dyDescent="0.2">
      <c r="A14" s="126" t="s">
        <v>522</v>
      </c>
      <c r="B14" s="312" t="s">
        <v>394</v>
      </c>
      <c r="C14" s="696">
        <f t="shared" si="9"/>
        <v>0</v>
      </c>
      <c r="D14" s="697">
        <f t="shared" si="0"/>
        <v>0</v>
      </c>
      <c r="E14" s="698">
        <f t="shared" si="1"/>
        <v>0</v>
      </c>
      <c r="F14" s="699">
        <f t="shared" si="2"/>
        <v>1</v>
      </c>
      <c r="G14" s="698">
        <f t="shared" si="3"/>
        <v>0</v>
      </c>
      <c r="H14" s="699">
        <f t="shared" si="4"/>
        <v>0</v>
      </c>
      <c r="I14" s="698">
        <f t="shared" si="5"/>
        <v>0</v>
      </c>
      <c r="J14" s="699">
        <f t="shared" si="6"/>
        <v>0</v>
      </c>
      <c r="K14" s="360">
        <f t="shared" si="7"/>
        <v>0</v>
      </c>
      <c r="L14" s="361">
        <f t="shared" si="8"/>
        <v>1</v>
      </c>
      <c r="M14" s="680">
        <f t="shared" si="10"/>
        <v>1</v>
      </c>
      <c r="AA14" s="280"/>
      <c r="AB14" s="281"/>
      <c r="AC14" s="174"/>
      <c r="AD14" s="215">
        <v>1</v>
      </c>
      <c r="AE14" s="174"/>
      <c r="AF14" s="215"/>
      <c r="AG14" s="174"/>
      <c r="AH14" s="215"/>
      <c r="AI14" s="360">
        <f t="shared" si="11"/>
        <v>0</v>
      </c>
      <c r="AJ14" s="361">
        <f t="shared" si="12"/>
        <v>1</v>
      </c>
    </row>
    <row r="15" spans="1:36" ht="12.75" customHeight="1" x14ac:dyDescent="0.2">
      <c r="A15" s="126" t="s">
        <v>593</v>
      </c>
      <c r="B15" s="312" t="s">
        <v>395</v>
      </c>
      <c r="C15" s="696">
        <f t="shared" si="9"/>
        <v>0</v>
      </c>
      <c r="D15" s="697">
        <f t="shared" si="0"/>
        <v>0</v>
      </c>
      <c r="E15" s="698">
        <f t="shared" si="1"/>
        <v>0</v>
      </c>
      <c r="F15" s="699">
        <f t="shared" si="2"/>
        <v>0</v>
      </c>
      <c r="G15" s="698">
        <f t="shared" si="3"/>
        <v>0</v>
      </c>
      <c r="H15" s="699">
        <f t="shared" si="4"/>
        <v>0</v>
      </c>
      <c r="I15" s="698">
        <f t="shared" si="5"/>
        <v>0</v>
      </c>
      <c r="J15" s="699">
        <f t="shared" si="6"/>
        <v>0</v>
      </c>
      <c r="K15" s="360">
        <f t="shared" si="7"/>
        <v>0</v>
      </c>
      <c r="L15" s="361">
        <f t="shared" si="8"/>
        <v>0</v>
      </c>
      <c r="M15" s="680">
        <f t="shared" si="10"/>
        <v>0</v>
      </c>
      <c r="AA15" s="280"/>
      <c r="AB15" s="281"/>
      <c r="AC15" s="174"/>
      <c r="AD15" s="215"/>
      <c r="AE15" s="174"/>
      <c r="AF15" s="215"/>
      <c r="AG15" s="174"/>
      <c r="AH15" s="215"/>
      <c r="AI15" s="360">
        <f t="shared" si="11"/>
        <v>0</v>
      </c>
      <c r="AJ15" s="361">
        <f t="shared" si="12"/>
        <v>0</v>
      </c>
    </row>
    <row r="16" spans="1:36" ht="12.75" customHeight="1" x14ac:dyDescent="0.2">
      <c r="A16" s="126" t="s">
        <v>594</v>
      </c>
      <c r="B16" s="312" t="s">
        <v>396</v>
      </c>
      <c r="C16" s="696">
        <f t="shared" si="9"/>
        <v>0</v>
      </c>
      <c r="D16" s="697">
        <f t="shared" si="0"/>
        <v>3</v>
      </c>
      <c r="E16" s="698">
        <f t="shared" si="1"/>
        <v>0</v>
      </c>
      <c r="F16" s="699">
        <f t="shared" si="2"/>
        <v>6</v>
      </c>
      <c r="G16" s="698">
        <f t="shared" si="3"/>
        <v>0</v>
      </c>
      <c r="H16" s="699">
        <f t="shared" si="4"/>
        <v>0</v>
      </c>
      <c r="I16" s="698">
        <f t="shared" si="5"/>
        <v>0</v>
      </c>
      <c r="J16" s="699">
        <f t="shared" si="6"/>
        <v>0</v>
      </c>
      <c r="K16" s="360">
        <f t="shared" si="7"/>
        <v>0</v>
      </c>
      <c r="L16" s="361">
        <f t="shared" si="8"/>
        <v>6</v>
      </c>
      <c r="M16" s="680">
        <f t="shared" si="10"/>
        <v>6</v>
      </c>
      <c r="AA16" s="280"/>
      <c r="AB16" s="281">
        <v>3</v>
      </c>
      <c r="AC16" s="174"/>
      <c r="AD16" s="215">
        <v>6</v>
      </c>
      <c r="AE16" s="174"/>
      <c r="AF16" s="215"/>
      <c r="AG16" s="174"/>
      <c r="AH16" s="215"/>
      <c r="AI16" s="360">
        <f t="shared" si="11"/>
        <v>0</v>
      </c>
      <c r="AJ16" s="361">
        <f t="shared" si="12"/>
        <v>6</v>
      </c>
    </row>
    <row r="17" spans="1:36" ht="12.75" customHeight="1" thickBot="1" x14ac:dyDescent="0.25">
      <c r="A17" s="126" t="s">
        <v>578</v>
      </c>
      <c r="B17" s="312" t="s">
        <v>397</v>
      </c>
      <c r="C17" s="696">
        <f t="shared" si="9"/>
        <v>1</v>
      </c>
      <c r="D17" s="697">
        <f t="shared" si="0"/>
        <v>5</v>
      </c>
      <c r="E17" s="698">
        <f t="shared" si="1"/>
        <v>1</v>
      </c>
      <c r="F17" s="699">
        <f t="shared" si="2"/>
        <v>4</v>
      </c>
      <c r="G17" s="698">
        <f t="shared" si="3"/>
        <v>0</v>
      </c>
      <c r="H17" s="699">
        <f t="shared" si="4"/>
        <v>0</v>
      </c>
      <c r="I17" s="698">
        <f t="shared" si="5"/>
        <v>0</v>
      </c>
      <c r="J17" s="699">
        <f t="shared" si="6"/>
        <v>0</v>
      </c>
      <c r="K17" s="360">
        <f t="shared" si="7"/>
        <v>1</v>
      </c>
      <c r="L17" s="361">
        <f t="shared" si="8"/>
        <v>4</v>
      </c>
      <c r="M17" s="680">
        <f t="shared" si="10"/>
        <v>5</v>
      </c>
      <c r="AA17" s="280">
        <v>1</v>
      </c>
      <c r="AB17" s="281">
        <v>5</v>
      </c>
      <c r="AC17" s="174">
        <v>1</v>
      </c>
      <c r="AD17" s="215">
        <v>4</v>
      </c>
      <c r="AE17" s="174"/>
      <c r="AF17" s="215"/>
      <c r="AG17" s="174"/>
      <c r="AH17" s="215"/>
      <c r="AI17" s="360">
        <f t="shared" si="11"/>
        <v>1</v>
      </c>
      <c r="AJ17" s="361">
        <f t="shared" si="12"/>
        <v>4</v>
      </c>
    </row>
    <row r="18" spans="1:36" ht="15.75" customHeight="1" thickTop="1" thickBot="1" x14ac:dyDescent="0.25">
      <c r="A18" s="253" t="s">
        <v>55</v>
      </c>
      <c r="B18" s="10"/>
      <c r="C18" s="362">
        <f t="shared" ref="C18:L18" si="13">SUM(C6:C17)</f>
        <v>86</v>
      </c>
      <c r="D18" s="363">
        <f t="shared" si="13"/>
        <v>51</v>
      </c>
      <c r="E18" s="362">
        <f t="shared" si="13"/>
        <v>89</v>
      </c>
      <c r="F18" s="363">
        <f t="shared" si="13"/>
        <v>62</v>
      </c>
      <c r="G18" s="362">
        <f t="shared" si="13"/>
        <v>0</v>
      </c>
      <c r="H18" s="363">
        <f t="shared" si="13"/>
        <v>0</v>
      </c>
      <c r="I18" s="362">
        <f t="shared" si="13"/>
        <v>0</v>
      </c>
      <c r="J18" s="363">
        <f t="shared" si="13"/>
        <v>0</v>
      </c>
      <c r="K18" s="362">
        <f t="shared" si="13"/>
        <v>89</v>
      </c>
      <c r="L18" s="364">
        <f t="shared" si="13"/>
        <v>62</v>
      </c>
      <c r="M18" s="680"/>
      <c r="AA18" s="362">
        <f t="shared" ref="AA18:AJ18" si="14">SUM(AA6:AA17)</f>
        <v>86</v>
      </c>
      <c r="AB18" s="363">
        <f t="shared" si="14"/>
        <v>51</v>
      </c>
      <c r="AC18" s="362">
        <f t="shared" si="14"/>
        <v>89</v>
      </c>
      <c r="AD18" s="363">
        <f t="shared" si="14"/>
        <v>62</v>
      </c>
      <c r="AE18" s="362">
        <f t="shared" si="14"/>
        <v>0</v>
      </c>
      <c r="AF18" s="363">
        <f t="shared" si="14"/>
        <v>0</v>
      </c>
      <c r="AG18" s="362">
        <f t="shared" si="14"/>
        <v>0</v>
      </c>
      <c r="AH18" s="363">
        <f t="shared" si="14"/>
        <v>0</v>
      </c>
      <c r="AI18" s="362">
        <f t="shared" si="14"/>
        <v>89</v>
      </c>
      <c r="AJ18" s="364">
        <f t="shared" si="14"/>
        <v>62</v>
      </c>
    </row>
    <row r="19" spans="1:36" ht="15.75" hidden="1" customHeight="1" x14ac:dyDescent="0.2">
      <c r="A19" s="6"/>
      <c r="C19" s="639"/>
      <c r="D19" s="639"/>
      <c r="E19" s="639"/>
      <c r="F19" s="639"/>
      <c r="G19" s="639"/>
      <c r="H19" s="639"/>
      <c r="I19" s="639"/>
      <c r="J19" s="639"/>
      <c r="K19" s="639"/>
      <c r="L19" s="639"/>
      <c r="AA19" s="639"/>
      <c r="AB19" s="639"/>
      <c r="AC19" s="639"/>
      <c r="AD19" s="639"/>
      <c r="AE19" s="639"/>
      <c r="AF19" s="639"/>
      <c r="AG19" s="639"/>
      <c r="AH19" s="639"/>
      <c r="AI19" s="639"/>
      <c r="AJ19" s="639"/>
    </row>
    <row r="20" spans="1:36" x14ac:dyDescent="0.2">
      <c r="A20" s="625" t="str">
        <f>"(*) inserire i dati comunicati nella tab.1 (colonna presenti al 31/12/"&amp;L1-1&amp;") della rilevazione dell'anno precedente"</f>
        <v>(*) inserire i dati comunicati nella tab.1 (colonna presenti al 31/12/2022) della rilevazione dell'anno precedente</v>
      </c>
    </row>
    <row r="21" spans="1:36" x14ac:dyDescent="0.2">
      <c r="A21" s="3" t="s">
        <v>117</v>
      </c>
    </row>
  </sheetData>
  <sheetProtection algorithmName="SHA-512" hashValue="yxmCLJqT2Csct7uCuwFIKdonswJWpii9cymt2/f4YWRV2G0Z9KHZRexDvLpZFXCgTa3X+S4ht/GBfntk/HHHjg==" saltValue="FU3BylB3jjEeh5C2N3blsw==" spinCount="100000" sheet="1" formatColumns="0" selectLockedCells="1"/>
  <mergeCells count="4">
    <mergeCell ref="AA3:AJ3"/>
    <mergeCell ref="C3:L3"/>
    <mergeCell ref="B4:B5"/>
    <mergeCell ref="G2:L2"/>
  </mergeCells>
  <phoneticPr fontId="30" type="noConversion"/>
  <conditionalFormatting sqref="A6:L17 AA6:AJ17">
    <cfRule type="expression" dxfId="31" priority="2" stopIfTrue="1">
      <formula>$M6&gt;0</formula>
    </cfRule>
  </conditionalFormatting>
  <printOptions horizontalCentered="1" verticalCentered="1"/>
  <pageMargins left="0" right="0" top="0.17" bottom="0.16" header="0.18" footer="0.2"/>
  <pageSetup paperSize="9" scale="75" orientation="landscape" horizontalDpi="300" verticalDpi="4294967292"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36">
    <tabColor rgb="FFCC0099"/>
  </sheetPr>
  <dimension ref="A1:Y20"/>
  <sheetViews>
    <sheetView showGridLines="0" workbookViewId="0">
      <pane xSplit="2" ySplit="5" topLeftCell="C6" activePane="bottomRight" state="frozen"/>
      <selection activeCell="E11" sqref="E11"/>
      <selection pane="topRight" activeCell="E11" sqref="E11"/>
      <selection pane="bottomLeft" activeCell="E11" sqref="E11"/>
      <selection pane="bottomRight" activeCell="A4" sqref="A4"/>
    </sheetView>
  </sheetViews>
  <sheetFormatPr defaultRowHeight="10.199999999999999" x14ac:dyDescent="0.2"/>
  <cols>
    <col min="1" max="1" width="57.7109375" style="3" customWidth="1"/>
    <col min="2" max="2" width="10" style="2" customWidth="1"/>
    <col min="3" max="5" width="10.7109375" style="2" customWidth="1"/>
    <col min="6" max="8" width="11.7109375" style="2" customWidth="1"/>
    <col min="9" max="15" width="13.7109375" style="2" customWidth="1"/>
    <col min="16" max="20" width="14.7109375" style="2" customWidth="1"/>
    <col min="21" max="21" width="9.28515625" style="91" customWidth="1"/>
  </cols>
  <sheetData>
    <row r="1" spans="1:25" s="3" customFormat="1" ht="43.5" customHeight="1" x14ac:dyDescent="0.2">
      <c r="A1" s="1097" t="str">
        <f>'t1'!A1</f>
        <v>AFAM - anno 2023</v>
      </c>
      <c r="B1" s="1097"/>
      <c r="C1" s="1097"/>
      <c r="D1" s="1097"/>
      <c r="E1" s="1097"/>
      <c r="F1" s="1097"/>
      <c r="G1" s="1097"/>
      <c r="H1" s="1097"/>
      <c r="I1" s="1097"/>
      <c r="J1" s="301"/>
      <c r="K1" s="301"/>
      <c r="L1" s="301"/>
      <c r="M1" s="301"/>
      <c r="N1" s="301"/>
      <c r="O1" s="301"/>
      <c r="P1" s="301"/>
      <c r="Q1" s="301"/>
      <c r="R1" s="301"/>
      <c r="S1" s="301"/>
      <c r="T1" s="301"/>
      <c r="X1"/>
    </row>
    <row r="2" spans="1:25" s="3" customFormat="1" ht="12.75" customHeight="1" x14ac:dyDescent="0.2">
      <c r="I2" s="493"/>
      <c r="J2" s="493"/>
      <c r="K2" s="493"/>
      <c r="L2" s="493"/>
      <c r="M2" s="493"/>
      <c r="N2" s="493"/>
      <c r="O2" s="493"/>
      <c r="P2" s="493"/>
      <c r="Q2" s="493"/>
      <c r="R2" s="493"/>
      <c r="S2" s="493"/>
      <c r="T2" s="493"/>
      <c r="U2" s="272"/>
      <c r="X2"/>
    </row>
    <row r="3" spans="1:25" s="3" customFormat="1" ht="21" customHeight="1" x14ac:dyDescent="0.25">
      <c r="A3" s="161" t="s">
        <v>283</v>
      </c>
      <c r="B3" s="2"/>
      <c r="C3" s="2"/>
      <c r="D3" s="2"/>
    </row>
    <row r="4" spans="1:25" s="3" customFormat="1" ht="21" customHeight="1" x14ac:dyDescent="0.25">
      <c r="A4" s="161"/>
      <c r="B4" s="2"/>
      <c r="C4" s="2"/>
      <c r="D4" s="2"/>
      <c r="F4" s="1204" t="s">
        <v>284</v>
      </c>
      <c r="G4" s="1205"/>
      <c r="H4" s="1206"/>
      <c r="I4" s="1204" t="s">
        <v>374</v>
      </c>
      <c r="J4" s="1205"/>
      <c r="K4" s="1205"/>
      <c r="L4" s="1205"/>
      <c r="M4" s="1205"/>
      <c r="N4" s="1205"/>
      <c r="O4" s="1206"/>
      <c r="P4" s="1204" t="s">
        <v>375</v>
      </c>
      <c r="Q4" s="1205"/>
      <c r="R4" s="1205"/>
      <c r="S4" s="1205"/>
      <c r="T4" s="1206"/>
    </row>
    <row r="5" spans="1:25" ht="64.8" x14ac:dyDescent="0.2">
      <c r="A5" s="494" t="s">
        <v>195</v>
      </c>
      <c r="B5" s="495" t="s">
        <v>158</v>
      </c>
      <c r="C5" s="496" t="str">
        <f>"presenti al 31/12/"&amp;'t1'!L1&amp;" (tab.1)"</f>
        <v>presenti al 31/12/2023 (tab.1)</v>
      </c>
      <c r="D5" s="496" t="s">
        <v>6</v>
      </c>
      <c r="E5" s="495" t="s">
        <v>285</v>
      </c>
      <c r="F5" s="497" t="str">
        <f>'t11'!C4</f>
        <v>FERIE</v>
      </c>
      <c r="G5" s="497" t="s">
        <v>286</v>
      </c>
      <c r="H5" s="497" t="s">
        <v>287</v>
      </c>
      <c r="I5" s="497" t="s">
        <v>563</v>
      </c>
      <c r="J5" s="497" t="str">
        <f>'t12'!E4</f>
        <v>R.I.A.</v>
      </c>
      <c r="K5" s="497" t="str">
        <f>'t12'!F4</f>
        <v>PROGRESSIONE CLASSI E SCATTI / FASCE / DIFFERENZIALI STIPENDIALI</v>
      </c>
      <c r="L5" s="497" t="str">
        <f>'t12'!G4</f>
        <v>TREDICESIMA MENSILTA'</v>
      </c>
      <c r="M5" s="498" t="s">
        <v>288</v>
      </c>
      <c r="N5" s="499" t="str">
        <f>'t12'!H4</f>
        <v>ARRETRATI  ANNI PRECEDENTI</v>
      </c>
      <c r="O5" s="499" t="str">
        <f>'t12'!I4</f>
        <v>RECUPERI DERIVANTI DA ASSENZE, RITARDI, ECC.</v>
      </c>
      <c r="P5" s="497" t="s">
        <v>257</v>
      </c>
      <c r="Q5" s="497" t="s">
        <v>289</v>
      </c>
      <c r="R5" s="497" t="s">
        <v>290</v>
      </c>
      <c r="S5" s="498" t="s">
        <v>291</v>
      </c>
      <c r="T5" s="499" t="str">
        <f>'t13'!R4</f>
        <v>ARRETRATI ANNI PRECEDENTI</v>
      </c>
    </row>
    <row r="6" spans="1:25" x14ac:dyDescent="0.2">
      <c r="A6" s="109" t="str">
        <f>'t1'!A6</f>
        <v>PROFESSORI DI PRIMA FASCIA</v>
      </c>
      <c r="B6" s="88" t="str">
        <f>'t1'!B6</f>
        <v>018P01</v>
      </c>
      <c r="C6" s="500">
        <f>'t1'!K6+'t1'!L6</f>
        <v>89</v>
      </c>
      <c r="D6" s="500">
        <f>('t1'!K6+'t1'!L6)-SUM('t3'!C6:F6,'t3'!I6:J6)+SUM('t3'!K6:N6)</f>
        <v>86</v>
      </c>
      <c r="E6" s="501">
        <f>'t12'!C6/12</f>
        <v>91.92</v>
      </c>
      <c r="F6" s="501">
        <f>IF($D6&gt;0,(('t11'!C8+'t11'!D8)/$D6)," ")</f>
        <v>10.050000000000001</v>
      </c>
      <c r="G6" s="501">
        <f>IF($D6&gt;0,(SUM('t11'!E8:N8)/$D6)," ")</f>
        <v>0.93</v>
      </c>
      <c r="H6" s="501">
        <f>IF($D6&gt;0,(SUM('t11'!O8:R8)/$D6)," ")</f>
        <v>0</v>
      </c>
      <c r="I6" s="502">
        <f>IF($E6=0," ",('t12'!D6)/$E6)</f>
        <v>27334</v>
      </c>
      <c r="J6" s="502">
        <f>IF($E6=0," ",'t12'!E6/$E6)</f>
        <v>0</v>
      </c>
      <c r="K6" s="502">
        <f>IF($E6=0," ",'t12'!F6/$E6)</f>
        <v>7605</v>
      </c>
      <c r="L6" s="502">
        <f>IF($E6=0," ",'t12'!G6/$E6)</f>
        <v>3032</v>
      </c>
      <c r="M6" s="503">
        <f>SUM(I6:L6)</f>
        <v>37971</v>
      </c>
      <c r="N6" s="504">
        <f>IF($E6=0," ",'t12'!H6/$E6)</f>
        <v>552</v>
      </c>
      <c r="O6" s="504">
        <f>IF($E6=0," ",'t12'!I6/$E6)</f>
        <v>5</v>
      </c>
      <c r="P6" s="502">
        <f>IF($E6=0," ",'t13'!T6/$E6)</f>
        <v>0</v>
      </c>
      <c r="Q6" s="502">
        <f>IF($E6=0," ",SUM('t13'!C6:K6)/$E6)</f>
        <v>4700</v>
      </c>
      <c r="R6" s="502">
        <f>IF($E6=0," ",(SUM('t13'!L6:Q6)+'t13'!S6)/$E6)</f>
        <v>2352</v>
      </c>
      <c r="S6" s="503">
        <f>SUM(P6:R6)</f>
        <v>7052</v>
      </c>
      <c r="T6" s="504">
        <f>IF($E6=0," ",'t13'!R6/$E6)</f>
        <v>42</v>
      </c>
    </row>
    <row r="7" spans="1:25" x14ac:dyDescent="0.2">
      <c r="A7" s="109" t="str">
        <f>'t1'!A7</f>
        <v>DIRETTORE AMMINISTRATIVO EP2</v>
      </c>
      <c r="B7" s="88" t="str">
        <f>'t1'!B7</f>
        <v>013504</v>
      </c>
      <c r="C7" s="500">
        <f>'t1'!K7+'t1'!L7</f>
        <v>0</v>
      </c>
      <c r="D7" s="500">
        <f>('t1'!K7+'t1'!L7)-SUM('t3'!C7:F7,'t3'!I7:J7)+SUM('t3'!K7:N7)</f>
        <v>0</v>
      </c>
      <c r="E7" s="501">
        <f>'t12'!C7/12</f>
        <v>0</v>
      </c>
      <c r="F7" s="501" t="str">
        <f>IF($D7&gt;0,(('t11'!C9+'t11'!D9)/$D7)," ")</f>
        <v xml:space="preserve"> </v>
      </c>
      <c r="G7" s="501" t="str">
        <f>IF($D7&gt;0,(SUM('t11'!E9:N9)/$D7)," ")</f>
        <v xml:space="preserve"> </v>
      </c>
      <c r="H7" s="501" t="str">
        <f>IF($D7&gt;0,(SUM('t11'!O9:R9)/$D7)," ")</f>
        <v xml:space="preserve"> </v>
      </c>
      <c r="I7" s="502" t="str">
        <f>IF($E7=0," ",('t12'!D7)/$E7)</f>
        <v xml:space="preserve"> </v>
      </c>
      <c r="J7" s="502" t="str">
        <f>IF($E7=0," ",'t12'!E7/$E7)</f>
        <v xml:space="preserve"> </v>
      </c>
      <c r="K7" s="502" t="str">
        <f>IF($E7=0," ",'t12'!F7/$E7)</f>
        <v xml:space="preserve"> </v>
      </c>
      <c r="L7" s="502" t="str">
        <f>IF($E7=0," ",'t12'!G7/$E7)</f>
        <v xml:space="preserve"> </v>
      </c>
      <c r="M7" s="503">
        <f t="shared" ref="M7:M17" si="0">SUM(I7:L7)</f>
        <v>0</v>
      </c>
      <c r="N7" s="504" t="str">
        <f>IF($E7=0," ",'t12'!H7/$E7)</f>
        <v xml:space="preserve"> </v>
      </c>
      <c r="O7" s="504" t="str">
        <f>IF($E7=0," ",'t12'!I7/$E7)</f>
        <v xml:space="preserve"> </v>
      </c>
      <c r="P7" s="502" t="str">
        <f>IF($E7=0," ",'t13'!T7/$E7)</f>
        <v xml:space="preserve"> </v>
      </c>
      <c r="Q7" s="502" t="str">
        <f>IF($E7=0," ",SUM('t13'!C7:K7)/$E7)</f>
        <v xml:space="preserve"> </v>
      </c>
      <c r="R7" s="502" t="str">
        <f>IF($E7=0," ",(SUM('t13'!L7:Q7)+'t13'!S7)/$E7)</f>
        <v xml:space="preserve"> </v>
      </c>
      <c r="S7" s="503">
        <f t="shared" ref="S7:S17" si="1">SUM(P7:R7)</f>
        <v>0</v>
      </c>
      <c r="T7" s="504" t="str">
        <f>IF($E7=0," ",'t13'!R7/$E7)</f>
        <v xml:space="preserve"> </v>
      </c>
    </row>
    <row r="8" spans="1:25" x14ac:dyDescent="0.2">
      <c r="A8" s="109" t="str">
        <f>'t1'!A8</f>
        <v>DIRETTORE DELL UFFICIO DI RAGIONERIA (EP1)</v>
      </c>
      <c r="B8" s="88" t="str">
        <f>'t1'!B8</f>
        <v>013159</v>
      </c>
      <c r="C8" s="500">
        <f>'t1'!K8+'t1'!L8</f>
        <v>0</v>
      </c>
      <c r="D8" s="500">
        <f>('t1'!K8+'t1'!L8)-SUM('t3'!C8:F8,'t3'!I8:J8)+SUM('t3'!K8:N8)</f>
        <v>0</v>
      </c>
      <c r="E8" s="501">
        <f>'t12'!C8/12</f>
        <v>0</v>
      </c>
      <c r="F8" s="501" t="str">
        <f>IF($D8&gt;0,(('t11'!C10+'t11'!D10)/$D8)," ")</f>
        <v xml:space="preserve"> </v>
      </c>
      <c r="G8" s="501" t="str">
        <f>IF($D8&gt;0,(SUM('t11'!E10:N10)/$D8)," ")</f>
        <v xml:space="preserve"> </v>
      </c>
      <c r="H8" s="501" t="str">
        <f>IF($D8&gt;0,(SUM('t11'!O10:R10)/$D8)," ")</f>
        <v xml:space="preserve"> </v>
      </c>
      <c r="I8" s="502" t="str">
        <f>IF($E8=0," ",('t12'!D8)/$E8)</f>
        <v xml:space="preserve"> </v>
      </c>
      <c r="J8" s="502" t="str">
        <f>IF($E8=0," ",'t12'!E8/$E8)</f>
        <v xml:space="preserve"> </v>
      </c>
      <c r="K8" s="502" t="str">
        <f>IF($E8=0," ",'t12'!F8/$E8)</f>
        <v xml:space="preserve"> </v>
      </c>
      <c r="L8" s="502" t="str">
        <f>IF($E8=0," ",'t12'!G8/$E8)</f>
        <v xml:space="preserve"> </v>
      </c>
      <c r="M8" s="503">
        <f t="shared" si="0"/>
        <v>0</v>
      </c>
      <c r="N8" s="504" t="str">
        <f>IF($E8=0," ",'t12'!H8/$E8)</f>
        <v xml:space="preserve"> </v>
      </c>
      <c r="O8" s="504" t="str">
        <f>IF($E8=0," ",'t12'!I8/$E8)</f>
        <v xml:space="preserve"> </v>
      </c>
      <c r="P8" s="502" t="str">
        <f>IF($E8=0," ",'t13'!T8/$E8)</f>
        <v xml:space="preserve"> </v>
      </c>
      <c r="Q8" s="502" t="str">
        <f>IF($E8=0," ",SUM('t13'!C8:K8)/$E8)</f>
        <v xml:space="preserve"> </v>
      </c>
      <c r="R8" s="502" t="str">
        <f>IF($E8=0," ",(SUM('t13'!L8:Q8)+'t13'!S8)/$E8)</f>
        <v xml:space="preserve"> </v>
      </c>
      <c r="S8" s="503">
        <f t="shared" si="1"/>
        <v>0</v>
      </c>
      <c r="T8" s="504" t="str">
        <f>IF($E8=0," ",'t13'!R8/$E8)</f>
        <v xml:space="preserve"> </v>
      </c>
    </row>
    <row r="9" spans="1:25" x14ac:dyDescent="0.2">
      <c r="A9" s="109" t="str">
        <f>'t1'!A9</f>
        <v>COLLABORATORE AREA III</v>
      </c>
      <c r="B9" s="88" t="str">
        <f>'t1'!B9</f>
        <v>013CTE</v>
      </c>
      <c r="C9" s="500">
        <f>'t1'!K9+'t1'!L9</f>
        <v>1</v>
      </c>
      <c r="D9" s="500">
        <f>('t1'!K9+'t1'!L9)-SUM('t3'!C9:F9,'t3'!I9:J9)+SUM('t3'!K9:N9)</f>
        <v>1</v>
      </c>
      <c r="E9" s="501">
        <f>'t12'!C9/12</f>
        <v>1</v>
      </c>
      <c r="F9" s="501">
        <f>IF($D9&gt;0,(('t11'!C11+'t11'!D11)/$D9)," ")</f>
        <v>28</v>
      </c>
      <c r="G9" s="501">
        <f>IF($D9&gt;0,(SUM('t11'!E11:N11)/$D9)," ")</f>
        <v>8</v>
      </c>
      <c r="H9" s="501">
        <f>IF($D9&gt;0,(SUM('t11'!O11:R11)/$D9)," ")</f>
        <v>0</v>
      </c>
      <c r="I9" s="502">
        <f>IF($E9=0," ",('t12'!D9)/$E9)</f>
        <v>19655</v>
      </c>
      <c r="J9" s="502">
        <f>IF($E9=0," ",'t12'!E9/$E9)</f>
        <v>0</v>
      </c>
      <c r="K9" s="502">
        <f>IF($E9=0," ",'t12'!F9/$E9)</f>
        <v>567</v>
      </c>
      <c r="L9" s="502">
        <f>IF($E9=0," ",'t12'!G9/$E9)</f>
        <v>1842</v>
      </c>
      <c r="M9" s="503">
        <f t="shared" si="0"/>
        <v>22064</v>
      </c>
      <c r="N9" s="504">
        <f>IF($E9=0," ",'t12'!H9/$E9)</f>
        <v>0</v>
      </c>
      <c r="O9" s="504">
        <f>IF($E9=0," ",'t12'!I9/$E9)</f>
        <v>14</v>
      </c>
      <c r="P9" s="502">
        <f>IF($E9=0," ",'t13'!T9/$E9)</f>
        <v>0</v>
      </c>
      <c r="Q9" s="502">
        <f>IF($E9=0," ",SUM('t13'!C9:K9)/$E9)</f>
        <v>888</v>
      </c>
      <c r="R9" s="502">
        <f>IF($E9=0," ",(SUM('t13'!L9:Q9)+'t13'!S9)/$E9)</f>
        <v>3295</v>
      </c>
      <c r="S9" s="503">
        <f t="shared" si="1"/>
        <v>4183</v>
      </c>
      <c r="T9" s="504">
        <f>IF($E9=0," ",'t13'!R9/$E9)</f>
        <v>0</v>
      </c>
    </row>
    <row r="10" spans="1:25" x14ac:dyDescent="0.2">
      <c r="A10" s="109" t="str">
        <f>'t1'!A10</f>
        <v>ASSISTENTE AREA II</v>
      </c>
      <c r="B10" s="88" t="str">
        <f>'t1'!B10</f>
        <v>012117</v>
      </c>
      <c r="C10" s="500">
        <f>'t1'!K10+'t1'!L10</f>
        <v>13</v>
      </c>
      <c r="D10" s="500">
        <f>('t1'!K10+'t1'!L10)-SUM('t3'!C10:F10,'t3'!I10:J10)+SUM('t3'!K10:N10)</f>
        <v>12</v>
      </c>
      <c r="E10" s="501">
        <f>'t12'!C10/12</f>
        <v>11.67</v>
      </c>
      <c r="F10" s="501">
        <f>IF($D10&gt;0,(('t11'!C12+'t11'!D12)/$D10)," ")</f>
        <v>29</v>
      </c>
      <c r="G10" s="501">
        <f>IF($D10&gt;0,(SUM('t11'!E12:N12)/$D10)," ")</f>
        <v>18</v>
      </c>
      <c r="H10" s="501">
        <f>IF($D10&gt;0,(SUM('t11'!O12:R12)/$D10)," ")</f>
        <v>0</v>
      </c>
      <c r="I10" s="502">
        <f>IF($E10=0," ",('t12'!D10)/$E10)</f>
        <v>18394</v>
      </c>
      <c r="J10" s="502">
        <f>IF($E10=0," ",'t12'!E10/$E10)</f>
        <v>0</v>
      </c>
      <c r="K10" s="502">
        <f>IF($E10=0," ",'t12'!F10/$E10)</f>
        <v>1794</v>
      </c>
      <c r="L10" s="502">
        <f>IF($E10=0," ",'t12'!G10/$E10)</f>
        <v>1896</v>
      </c>
      <c r="M10" s="503">
        <f t="shared" si="0"/>
        <v>22084</v>
      </c>
      <c r="N10" s="504">
        <f>IF($E10=0," ",'t12'!H10/$E10)</f>
        <v>29</v>
      </c>
      <c r="O10" s="504">
        <f>IF($E10=0," ",'t12'!I10/$E10)</f>
        <v>178</v>
      </c>
      <c r="P10" s="502">
        <f>IF($E10=0," ",'t13'!T10/$E10)</f>
        <v>0</v>
      </c>
      <c r="Q10" s="502">
        <f>IF($E10=0," ",SUM('t13'!C10:K10)/$E10)</f>
        <v>940</v>
      </c>
      <c r="R10" s="502">
        <f>IF($E10=0," ",(SUM('t13'!L10:Q10)+'t13'!S10)/$E10)</f>
        <v>15769</v>
      </c>
      <c r="S10" s="503">
        <f t="shared" si="1"/>
        <v>16709</v>
      </c>
      <c r="T10" s="504">
        <f>IF($E10=0," ",'t13'!R10/$E10)</f>
        <v>0</v>
      </c>
    </row>
    <row r="11" spans="1:25" x14ac:dyDescent="0.2">
      <c r="A11" s="109" t="str">
        <f>'t1'!A11</f>
        <v>COADIUTORE AREA I</v>
      </c>
      <c r="B11" s="88" t="str">
        <f>'t1'!B11</f>
        <v>011121</v>
      </c>
      <c r="C11" s="500">
        <f>'t1'!K11+'t1'!L11</f>
        <v>14</v>
      </c>
      <c r="D11" s="500">
        <f>('t1'!K11+'t1'!L11)-SUM('t3'!C11:F11,'t3'!I11:J11)+SUM('t3'!K11:N11)</f>
        <v>14</v>
      </c>
      <c r="E11" s="501">
        <f>'t12'!C11/12</f>
        <v>12.58</v>
      </c>
      <c r="F11" s="501">
        <f>IF($D11&gt;0,(('t11'!C13+'t11'!D13)/$D11)," ")</f>
        <v>27.71</v>
      </c>
      <c r="G11" s="501">
        <f>IF($D11&gt;0,(SUM('t11'!E13:N13)/$D11)," ")</f>
        <v>45.43</v>
      </c>
      <c r="H11" s="501">
        <f>IF($D11&gt;0,(SUM('t11'!O13:R13)/$D11)," ")</f>
        <v>0</v>
      </c>
      <c r="I11" s="502">
        <f>IF($E11=0," ",('t12'!D11)/$E11)</f>
        <v>16512</v>
      </c>
      <c r="J11" s="502">
        <f>IF($E11=0," ",'t12'!E11/$E11)</f>
        <v>0</v>
      </c>
      <c r="K11" s="502">
        <f>IF($E11=0," ",'t12'!F11/$E11)</f>
        <v>1434</v>
      </c>
      <c r="L11" s="502">
        <f>IF($E11=0," ",'t12'!G11/$E11)</f>
        <v>1502</v>
      </c>
      <c r="M11" s="503">
        <f t="shared" si="0"/>
        <v>19448</v>
      </c>
      <c r="N11" s="504">
        <f>IF($E11=0," ",'t12'!H11/$E11)</f>
        <v>42</v>
      </c>
      <c r="O11" s="504">
        <f>IF($E11=0," ",'t12'!I11/$E11)</f>
        <v>917</v>
      </c>
      <c r="P11" s="502">
        <f>IF($E11=0," ",'t13'!T11/$E11)</f>
        <v>0</v>
      </c>
      <c r="Q11" s="502">
        <f>IF($E11=0," ",SUM('t13'!C11:K11)/$E11)</f>
        <v>1856</v>
      </c>
      <c r="R11" s="502">
        <f>IF($E11=0," ",(SUM('t13'!L11:Q11)+'t13'!S11)/$E11)</f>
        <v>3350</v>
      </c>
      <c r="S11" s="503">
        <f t="shared" si="1"/>
        <v>5206</v>
      </c>
      <c r="T11" s="504">
        <f>IF($E11=0," ",'t13'!R11/$E11)</f>
        <v>245</v>
      </c>
    </row>
    <row r="12" spans="1:25" x14ac:dyDescent="0.2">
      <c r="A12" s="109" t="str">
        <f>'t1'!A12</f>
        <v>PROFESSORI DI PRIMA FASCIA TEMPO DET.ANNUALE</v>
      </c>
      <c r="B12" s="88" t="str">
        <f>'t1'!B12</f>
        <v>018PD1</v>
      </c>
      <c r="C12" s="500">
        <f>'t1'!K12+'t1'!L12</f>
        <v>21</v>
      </c>
      <c r="D12" s="500">
        <f>('t1'!K12+'t1'!L12)-SUM('t3'!C12:F12,'t3'!I12:J12)+SUM('t3'!K12:N12)</f>
        <v>21</v>
      </c>
      <c r="E12" s="501">
        <f>'t12'!C12/12</f>
        <v>13.33</v>
      </c>
      <c r="F12" s="501">
        <f>IF($D12&gt;0,(('t11'!C14+'t11'!D14)/$D12)," ")</f>
        <v>16.190000000000001</v>
      </c>
      <c r="G12" s="501">
        <f>IF($D12&gt;0,(SUM('t11'!E14:N14)/$D12)," ")</f>
        <v>1.38</v>
      </c>
      <c r="H12" s="501">
        <f>IF($D12&gt;0,(SUM('t11'!O14:R14)/$D12)," ")</f>
        <v>0</v>
      </c>
      <c r="I12" s="502">
        <f>IF($E12=0," ",('t12'!D12)/$E12)</f>
        <v>27149</v>
      </c>
      <c r="J12" s="502">
        <f>IF($E12=0," ",'t12'!E12/$E12)</f>
        <v>0</v>
      </c>
      <c r="K12" s="502">
        <f>IF($E12=0," ",'t12'!F12/$E12)</f>
        <v>0</v>
      </c>
      <c r="L12" s="502">
        <f>IF($E12=0," ",'t12'!G12/$E12)</f>
        <v>2048</v>
      </c>
      <c r="M12" s="503">
        <f t="shared" si="0"/>
        <v>29197</v>
      </c>
      <c r="N12" s="504">
        <f>IF($E12=0," ",'t12'!H12/$E12)</f>
        <v>349</v>
      </c>
      <c r="O12" s="504">
        <f>IF($E12=0," ",'t12'!I12/$E12)</f>
        <v>7</v>
      </c>
      <c r="P12" s="502">
        <f>IF($E12=0," ",'t13'!T12/$E12)</f>
        <v>0</v>
      </c>
      <c r="Q12" s="502">
        <f>IF($E12=0," ",SUM('t13'!C12:K12)/$E12)</f>
        <v>2174</v>
      </c>
      <c r="R12" s="502">
        <f>IF($E12=0," ",(SUM('t13'!L12:Q12)+'t13'!S12)/$E12)</f>
        <v>1293</v>
      </c>
      <c r="S12" s="503">
        <f t="shared" si="1"/>
        <v>3467</v>
      </c>
      <c r="T12" s="504">
        <f>IF($E12=0," ",'t13'!R12/$E12)</f>
        <v>23</v>
      </c>
    </row>
    <row r="13" spans="1:25" x14ac:dyDescent="0.2">
      <c r="A13" s="109" t="str">
        <f>'t1'!A13</f>
        <v>DIRETTORE AMMINISTRATIVO TEMPO DET.ANNUALE (EP2)</v>
      </c>
      <c r="B13" s="88" t="str">
        <f>'t1'!B13</f>
        <v>013EP2</v>
      </c>
      <c r="C13" s="500">
        <f>'t1'!K13+'t1'!L13</f>
        <v>1</v>
      </c>
      <c r="D13" s="500">
        <f>('t1'!K13+'t1'!L13)-SUM('t3'!C13:F13,'t3'!I13:J13)+SUM('t3'!K13:N13)</f>
        <v>1</v>
      </c>
      <c r="E13" s="501">
        <f>'t12'!C13/12</f>
        <v>0.67</v>
      </c>
      <c r="F13" s="501">
        <f>IF($D13&gt;0,(('t11'!C15+'t11'!D15)/$D13)," ")</f>
        <v>28</v>
      </c>
      <c r="G13" s="501">
        <f>IF($D13&gt;0,(SUM('t11'!E15:N15)/$D13)," ")</f>
        <v>0</v>
      </c>
      <c r="H13" s="501">
        <f>IF($D13&gt;0,(SUM('t11'!O15:R15)/$D13)," ")</f>
        <v>0</v>
      </c>
      <c r="I13" s="502">
        <f>IF($E13=0," ",('t12'!D13)/$E13)</f>
        <v>27200</v>
      </c>
      <c r="J13" s="502">
        <f>IF($E13=0," ",'t12'!E13/$E13)</f>
        <v>0</v>
      </c>
      <c r="K13" s="502">
        <f>IF($E13=0," ",'t12'!F13/$E13)</f>
        <v>822</v>
      </c>
      <c r="L13" s="502">
        <f>IF($E13=0," ",'t12'!G13/$E13)</f>
        <v>0</v>
      </c>
      <c r="M13" s="503">
        <f t="shared" si="0"/>
        <v>28022</v>
      </c>
      <c r="N13" s="504">
        <f>IF($E13=0," ",'t12'!H13/$E13)</f>
        <v>0</v>
      </c>
      <c r="O13" s="504">
        <f>IF($E13=0," ",'t12'!I13/$E13)</f>
        <v>691</v>
      </c>
      <c r="P13" s="502">
        <f>IF($E13=0," ",'t13'!T13/$E13)</f>
        <v>0</v>
      </c>
      <c r="Q13" s="502">
        <f>IF($E13=0," ",SUM('t13'!C13:K13)/$E13)</f>
        <v>146</v>
      </c>
      <c r="R13" s="502">
        <f>IF($E13=0," ",(SUM('t13'!L13:Q13)+'t13'!S13)/$E13)</f>
        <v>4245</v>
      </c>
      <c r="S13" s="503">
        <f t="shared" si="1"/>
        <v>4391</v>
      </c>
      <c r="T13" s="504">
        <f>IF($E13=0," ",'t13'!R13/$E13)</f>
        <v>0</v>
      </c>
    </row>
    <row r="14" spans="1:25" x14ac:dyDescent="0.2">
      <c r="A14" s="109" t="str">
        <f>'t1'!A14</f>
        <v>DIRETTORE DELL UFFICIO DI RAGIONERIA TEMPO DET.ANNUALE (EP1)</v>
      </c>
      <c r="B14" s="88" t="str">
        <f>'t1'!B14</f>
        <v>013160</v>
      </c>
      <c r="C14" s="500">
        <f>'t1'!K14+'t1'!L14</f>
        <v>1</v>
      </c>
      <c r="D14" s="500">
        <f>('t1'!K14+'t1'!L14)-SUM('t3'!C14:F14,'t3'!I14:J14)+SUM('t3'!K14:N14)</f>
        <v>1</v>
      </c>
      <c r="E14" s="501">
        <f>'t12'!C14/12</f>
        <v>0.17</v>
      </c>
      <c r="F14" s="501">
        <f>IF($D14&gt;0,(('t11'!C16+'t11'!D16)/$D14)," ")</f>
        <v>28</v>
      </c>
      <c r="G14" s="501">
        <f>IF($D14&gt;0,(SUM('t11'!E16:N16)/$D14)," ")</f>
        <v>8</v>
      </c>
      <c r="H14" s="501">
        <f>IF($D14&gt;0,(SUM('t11'!O16:R16)/$D14)," ")</f>
        <v>0</v>
      </c>
      <c r="I14" s="502">
        <f>IF($E14=0," ",('t12'!D14)/$E14)</f>
        <v>23559</v>
      </c>
      <c r="J14" s="502">
        <f>IF($E14=0," ",'t12'!E14/$E14)</f>
        <v>0</v>
      </c>
      <c r="K14" s="502">
        <f>IF($E14=0," ",'t12'!F14/$E14)</f>
        <v>0</v>
      </c>
      <c r="L14" s="502">
        <f>IF($E14=0," ",'t12'!G14/$E14)</f>
        <v>0</v>
      </c>
      <c r="M14" s="503">
        <f t="shared" si="0"/>
        <v>23559</v>
      </c>
      <c r="N14" s="504">
        <f>IF($E14=0," ",'t12'!H14/$E14)</f>
        <v>0</v>
      </c>
      <c r="O14" s="504">
        <f>IF($E14=0," ",'t12'!I14/$E14)</f>
        <v>2759</v>
      </c>
      <c r="P14" s="502">
        <f>IF($E14=0," ",'t13'!T14/$E14)</f>
        <v>0</v>
      </c>
      <c r="Q14" s="502">
        <f>IF($E14=0," ",SUM('t13'!C14:K14)/$E14)</f>
        <v>141</v>
      </c>
      <c r="R14" s="502">
        <f>IF($E14=0," ",(SUM('t13'!L14:Q14)+'t13'!S14)/$E14)</f>
        <v>6265</v>
      </c>
      <c r="S14" s="503">
        <f t="shared" si="1"/>
        <v>6406</v>
      </c>
      <c r="T14" s="504">
        <f>IF($E14=0," ",'t13'!R14/$E14)</f>
        <v>0</v>
      </c>
    </row>
    <row r="15" spans="1:25" x14ac:dyDescent="0.2">
      <c r="A15" s="109" t="str">
        <f>'t1'!A15</f>
        <v>COLLABORATORE AREA III TEMPO DET. ANNUALE</v>
      </c>
      <c r="B15" s="88" t="str">
        <f>'t1'!B15</f>
        <v>013CDE</v>
      </c>
      <c r="C15" s="500">
        <f>'t1'!K15+'t1'!L15</f>
        <v>0</v>
      </c>
      <c r="D15" s="500">
        <f>('t1'!K15+'t1'!L15)-SUM('t3'!C15:F15,'t3'!I15:J15)+SUM('t3'!K15:N15)</f>
        <v>0</v>
      </c>
      <c r="E15" s="501">
        <f>'t12'!C15/12</f>
        <v>0</v>
      </c>
      <c r="F15" s="501" t="str">
        <f>IF($D15&gt;0,(('t11'!C17+'t11'!D17)/$D15)," ")</f>
        <v xml:space="preserve"> </v>
      </c>
      <c r="G15" s="501" t="str">
        <f>IF($D15&gt;0,(SUM('t11'!E17:N17)/$D15)," ")</f>
        <v xml:space="preserve"> </v>
      </c>
      <c r="H15" s="501" t="str">
        <f>IF($D15&gt;0,(SUM('t11'!O17:R17)/$D15)," ")</f>
        <v xml:space="preserve"> </v>
      </c>
      <c r="I15" s="502" t="str">
        <f>IF($E15=0," ",('t12'!D15)/$E15)</f>
        <v xml:space="preserve"> </v>
      </c>
      <c r="J15" s="502" t="str">
        <f>IF($E15=0," ",'t12'!E15/$E15)</f>
        <v xml:space="preserve"> </v>
      </c>
      <c r="K15" s="502" t="str">
        <f>IF($E15=0," ",'t12'!F15/$E15)</f>
        <v xml:space="preserve"> </v>
      </c>
      <c r="L15" s="502" t="str">
        <f>IF($E15=0," ",'t12'!G15/$E15)</f>
        <v xml:space="preserve"> </v>
      </c>
      <c r="M15" s="503">
        <f t="shared" si="0"/>
        <v>0</v>
      </c>
      <c r="N15" s="504" t="str">
        <f>IF($E15=0," ",'t12'!H15/$E15)</f>
        <v xml:space="preserve"> </v>
      </c>
      <c r="O15" s="504" t="str">
        <f>IF($E15=0," ",'t12'!I15/$E15)</f>
        <v xml:space="preserve"> </v>
      </c>
      <c r="P15" s="502" t="str">
        <f>IF($E15=0," ",'t13'!T15/$E15)</f>
        <v xml:space="preserve"> </v>
      </c>
      <c r="Q15" s="502" t="str">
        <f>IF($E15=0," ",SUM('t13'!C15:K15)/$E15)</f>
        <v xml:space="preserve"> </v>
      </c>
      <c r="R15" s="502" t="str">
        <f>IF($E15=0," ",(SUM('t13'!L15:Q15)+'t13'!S15)/$E15)</f>
        <v xml:space="preserve"> </v>
      </c>
      <c r="S15" s="503">
        <f t="shared" si="1"/>
        <v>0</v>
      </c>
      <c r="T15" s="504" t="str">
        <f>IF($E15=0," ",'t13'!R15/$E15)</f>
        <v xml:space="preserve"> </v>
      </c>
    </row>
    <row r="16" spans="1:25" s="91" customFormat="1" x14ac:dyDescent="0.2">
      <c r="A16" s="109" t="str">
        <f>'t1'!A16</f>
        <v>ASSISTENTE AREA II TEMPO DET. ANNUALE</v>
      </c>
      <c r="B16" s="88" t="str">
        <f>'t1'!B16</f>
        <v>012118</v>
      </c>
      <c r="C16" s="500">
        <f>'t1'!K16+'t1'!L16</f>
        <v>6</v>
      </c>
      <c r="D16" s="500">
        <f>('t1'!K16+'t1'!L16)-SUM('t3'!C16:F16,'t3'!I16:J16)+SUM('t3'!K16:N16)</f>
        <v>6</v>
      </c>
      <c r="E16" s="501">
        <f>'t12'!C16/12</f>
        <v>7.33</v>
      </c>
      <c r="F16" s="501">
        <f>IF($D16&gt;0,(('t11'!C18+'t11'!D18)/$D16)," ")</f>
        <v>23</v>
      </c>
      <c r="G16" s="501">
        <f>IF($D16&gt;0,(SUM('t11'!E18:N18)/$D16)," ")</f>
        <v>8.67</v>
      </c>
      <c r="H16" s="501">
        <f>IF($D16&gt;0,(SUM('t11'!O18:R18)/$D16)," ")</f>
        <v>0</v>
      </c>
      <c r="I16" s="502">
        <f>IF($E16=0," ",('t12'!D16)/$E16)</f>
        <v>18077</v>
      </c>
      <c r="J16" s="502">
        <f>IF($E16=0," ",'t12'!E16/$E16)</f>
        <v>0</v>
      </c>
      <c r="K16" s="502">
        <f>IF($E16=0," ",'t12'!F16/$E16)</f>
        <v>0</v>
      </c>
      <c r="L16" s="502">
        <f>IF($E16=0," ",'t12'!G16/$E16)</f>
        <v>1280</v>
      </c>
      <c r="M16" s="503">
        <f t="shared" si="0"/>
        <v>19357</v>
      </c>
      <c r="N16" s="504">
        <f>IF($E16=0," ",'t12'!H16/$E16)</f>
        <v>0</v>
      </c>
      <c r="O16" s="504">
        <f>IF($E16=0," ",'t12'!I16/$E16)</f>
        <v>8</v>
      </c>
      <c r="P16" s="502">
        <f>IF($E16=0," ",'t13'!T16/$E16)</f>
        <v>0</v>
      </c>
      <c r="Q16" s="502">
        <f>IF($E16=0," ",SUM('t13'!C16:K16)/$E16)</f>
        <v>90</v>
      </c>
      <c r="R16" s="502">
        <f>IF($E16=0," ",(SUM('t13'!L16:Q16)+'t13'!S16)/$E16)</f>
        <v>2949</v>
      </c>
      <c r="S16" s="503">
        <f t="shared" si="1"/>
        <v>3039</v>
      </c>
      <c r="T16" s="504">
        <f>IF($E16=0," ",'t13'!R16/$E16)</f>
        <v>0</v>
      </c>
      <c r="V16"/>
      <c r="W16"/>
      <c r="X16"/>
      <c r="Y16"/>
    </row>
    <row r="17" spans="1:25" s="91" customFormat="1" x14ac:dyDescent="0.2">
      <c r="A17" s="109" t="str">
        <f>'t1'!A17</f>
        <v>COADIUTORE AREA I TEMPO DET.ANNUALE</v>
      </c>
      <c r="B17" s="88" t="str">
        <f>'t1'!B17</f>
        <v>011124</v>
      </c>
      <c r="C17" s="500">
        <f>'t1'!K17+'t1'!L17</f>
        <v>5</v>
      </c>
      <c r="D17" s="500">
        <f>('t1'!K17+'t1'!L17)-SUM('t3'!C17:F17,'t3'!I17:J17)+SUM('t3'!K17:N17)</f>
        <v>5</v>
      </c>
      <c r="E17" s="501">
        <f>'t12'!C17/12</f>
        <v>7.5</v>
      </c>
      <c r="F17" s="501">
        <f>IF($D17&gt;0,(('t11'!C19+'t11'!D19)/$D17)," ")</f>
        <v>34.799999999999997</v>
      </c>
      <c r="G17" s="501">
        <f>IF($D17&gt;0,(SUM('t11'!E19:N19)/$D17)," ")</f>
        <v>51.8</v>
      </c>
      <c r="H17" s="501">
        <f>IF($D17&gt;0,(SUM('t11'!O19:R19)/$D17)," ")</f>
        <v>0</v>
      </c>
      <c r="I17" s="502">
        <f>IF($E17=0," ",('t12'!D17)/$E17)</f>
        <v>16704</v>
      </c>
      <c r="J17" s="502">
        <f>IF($E17=0," ",'t12'!E17/$E17)</f>
        <v>0</v>
      </c>
      <c r="K17" s="502">
        <f>IF($E17=0," ",'t12'!F17/$E17)</f>
        <v>0</v>
      </c>
      <c r="L17" s="502">
        <f>IF($E17=0," ",'t12'!G17/$E17)</f>
        <v>935</v>
      </c>
      <c r="M17" s="503">
        <f t="shared" si="0"/>
        <v>17639</v>
      </c>
      <c r="N17" s="504">
        <f>IF($E17=0," ",'t12'!H17/$E17)</f>
        <v>8</v>
      </c>
      <c r="O17" s="504">
        <f>IF($E17=0," ",'t12'!I17/$E17)</f>
        <v>12</v>
      </c>
      <c r="P17" s="502">
        <f>IF($E17=0," ",'t13'!T17/$E17)</f>
        <v>0</v>
      </c>
      <c r="Q17" s="502">
        <f>IF($E17=0," ",SUM('t13'!C17:K17)/$E17)</f>
        <v>83</v>
      </c>
      <c r="R17" s="502">
        <f>IF($E17=0," ",(SUM('t13'!L17:Q17)+'t13'!S17)/$E17)</f>
        <v>3514</v>
      </c>
      <c r="S17" s="503">
        <f t="shared" si="1"/>
        <v>3597</v>
      </c>
      <c r="T17" s="504">
        <f>IF($E17=0," ",'t13'!R17/$E17)</f>
        <v>0</v>
      </c>
      <c r="V17"/>
      <c r="W17"/>
      <c r="X17"/>
      <c r="Y17"/>
    </row>
    <row r="19" spans="1:25" x14ac:dyDescent="0.2">
      <c r="A19" s="3" t="str">
        <f>"(*)  Personale presente al 31/12/"&amp;'t1'!L1&amp;" di T1 - personale dell'amministrazione comandato/distaccato, fuori ruolo e in esonero di T3 + personale esterno comandato/distaccato e fuori ruolo di T3"</f>
        <v>(*)  Personale presente al 31/12/2023 di T1 - personale dell'amministrazione comandato/distaccato, fuori ruolo e in esonero di T3 + personale esterno comandato/distaccato e fuori ruolo di T3</v>
      </c>
    </row>
    <row r="20" spans="1:25" x14ac:dyDescent="0.2">
      <c r="A20" s="3" t="s">
        <v>376</v>
      </c>
    </row>
  </sheetData>
  <sheetProtection password="DD41" sheet="1" formatColumns="0" selectLockedCells="1" selectUnlockedCells="1"/>
  <mergeCells count="4">
    <mergeCell ref="A1:I1"/>
    <mergeCell ref="F4:H4"/>
    <mergeCell ref="I4:O4"/>
    <mergeCell ref="P4:T4"/>
  </mergeCells>
  <phoneticPr fontId="30" type="noConversion"/>
  <printOptions horizontalCentered="1" verticalCentered="1"/>
  <pageMargins left="0.19685039370078741" right="0.19685039370078741" top="0.19685039370078741" bottom="0.15748031496062992" header="0.15748031496062992" footer="0.15748031496062992"/>
  <pageSetup paperSize="9" scale="80" orientation="landscape" horizontalDpi="0" verticalDpi="0" r:id="rId1"/>
  <headerFooter alignWithMargins="0"/>
  <colBreaks count="1" manualBreakCount="1">
    <brk id="15"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2"/>
  <dimension ref="A1:T41"/>
  <sheetViews>
    <sheetView showGridLines="0" workbookViewId="0">
      <pane ySplit="5" topLeftCell="A6" activePane="bottomLeft" state="frozen"/>
      <selection activeCell="E11" sqref="E11"/>
      <selection pane="bottomLeft" activeCell="B5" sqref="B5"/>
    </sheetView>
  </sheetViews>
  <sheetFormatPr defaultColWidth="9.28515625" defaultRowHeight="10.199999999999999" x14ac:dyDescent="0.2"/>
  <cols>
    <col min="1" max="1" width="57.7109375" style="3" customWidth="1"/>
    <col min="2" max="2" width="10" style="2" bestFit="1" customWidth="1"/>
    <col min="3" max="7" width="13.28515625" style="2" customWidth="1"/>
    <col min="8" max="8" width="15" style="2" customWidth="1"/>
    <col min="9" max="10" width="13.28515625" style="2" customWidth="1"/>
    <col min="11" max="16384" width="9.28515625" style="3"/>
  </cols>
  <sheetData>
    <row r="1" spans="1:13" ht="43.5" customHeight="1" x14ac:dyDescent="0.2">
      <c r="A1" s="1097" t="str">
        <f>'t1'!A1</f>
        <v>AFAM - anno 2023</v>
      </c>
      <c r="B1" s="1097"/>
      <c r="C1" s="1097"/>
      <c r="D1" s="1097"/>
      <c r="E1" s="1097"/>
      <c r="F1" s="1097"/>
      <c r="G1" s="1097"/>
      <c r="H1" s="1097"/>
      <c r="I1" s="271"/>
      <c r="J1" s="268"/>
      <c r="M1"/>
    </row>
    <row r="2" spans="1:13" ht="12.75" customHeight="1" x14ac:dyDescent="0.2">
      <c r="B2" s="3"/>
      <c r="C2" s="3"/>
      <c r="D2" s="1207"/>
      <c r="E2" s="1207"/>
      <c r="F2" s="1207"/>
      <c r="G2" s="1207"/>
      <c r="H2" s="1207"/>
      <c r="I2" s="1207"/>
      <c r="J2" s="1207"/>
      <c r="M2"/>
    </row>
    <row r="3" spans="1:13" s="161" customFormat="1" ht="21" customHeight="1" x14ac:dyDescent="0.25">
      <c r="A3" s="161" t="str">
        <f>"Tavola di coerenza tra presenti al 31.12."&amp;'t1'!L1&amp;" e presenti al 31.12."&amp;'t1'!L1-1&amp;" (Squadratura 1)"</f>
        <v>Tavola di coerenza tra presenti al 31.12.2023 e presenti al 31.12.2022 (Squadratura 1)</v>
      </c>
      <c r="B3" s="270"/>
    </row>
    <row r="4" spans="1:13" ht="36.75" customHeight="1" x14ac:dyDescent="0.2">
      <c r="A4" s="145" t="s">
        <v>159</v>
      </c>
      <c r="B4" s="146" t="s">
        <v>158</v>
      </c>
      <c r="C4" s="146" t="str">
        <f>"Presenti 31.12."&amp;'t1'!L1-1&amp;" (Tab 1)"</f>
        <v>Presenti 31.12.2022 (Tab 1)</v>
      </c>
      <c r="D4" s="146" t="s">
        <v>151</v>
      </c>
      <c r="E4" s="146" t="s">
        <v>205</v>
      </c>
      <c r="F4" s="146" t="s">
        <v>153</v>
      </c>
      <c r="G4" s="146" t="s">
        <v>152</v>
      </c>
      <c r="H4" s="146" t="str">
        <f>"Presenti 31.12."&amp;'t1'!L1&amp;" (Calcolati)"</f>
        <v>Presenti 31.12.2023 (Calcolati)</v>
      </c>
      <c r="I4" s="146" t="str">
        <f>"Presenti 31.12."&amp;'t1'!L1&amp;" (Tab 1)"</f>
        <v>Presenti 31.12.2023 (Tab 1)</v>
      </c>
      <c r="J4" s="146" t="s">
        <v>168</v>
      </c>
    </row>
    <row r="5" spans="1:13" x14ac:dyDescent="0.2">
      <c r="A5" s="579"/>
      <c r="B5" s="146"/>
      <c r="C5" s="151" t="s">
        <v>160</v>
      </c>
      <c r="D5" s="151" t="s">
        <v>161</v>
      </c>
      <c r="E5" s="151" t="s">
        <v>162</v>
      </c>
      <c r="F5" s="151" t="s">
        <v>163</v>
      </c>
      <c r="G5" s="151" t="s">
        <v>164</v>
      </c>
      <c r="H5" s="151" t="s">
        <v>165</v>
      </c>
      <c r="I5" s="151" t="s">
        <v>166</v>
      </c>
      <c r="J5" s="151" t="s">
        <v>167</v>
      </c>
    </row>
    <row r="6" spans="1:13" ht="12.75" customHeight="1" x14ac:dyDescent="0.2">
      <c r="A6" s="580" t="str">
        <f>'t1'!A6</f>
        <v>PROFESSORI DI PRIMA FASCIA</v>
      </c>
      <c r="B6" s="152" t="str">
        <f>'t1'!B6</f>
        <v>018P01</v>
      </c>
      <c r="C6" s="293">
        <f>'t1'!C6+'t1'!D6</f>
        <v>93</v>
      </c>
      <c r="D6" s="293">
        <f>'t5'!U7+'t5'!V7</f>
        <v>9</v>
      </c>
      <c r="E6" s="294">
        <f>'t6'!U7+'t6'!V7</f>
        <v>5</v>
      </c>
      <c r="F6" s="294">
        <f>'t4'!O15</f>
        <v>0</v>
      </c>
      <c r="G6" s="294">
        <f>'t4'!C27</f>
        <v>0</v>
      </c>
      <c r="H6" s="294">
        <f t="shared" ref="H6:H11" si="0">C6-D6+E6-F6+G6</f>
        <v>89</v>
      </c>
      <c r="I6" s="294">
        <f>'t1'!K6+'t1'!L6</f>
        <v>89</v>
      </c>
      <c r="J6" s="88" t="str">
        <f t="shared" ref="J6:J11" si="1">IF(H6=I6,"OK","ERRORE")</f>
        <v>OK</v>
      </c>
    </row>
    <row r="7" spans="1:13" ht="12.75" customHeight="1" x14ac:dyDescent="0.2">
      <c r="A7" s="580" t="str">
        <f>'t1'!A7</f>
        <v>DIRETTORE AMMINISTRATIVO EP2</v>
      </c>
      <c r="B7" s="152" t="str">
        <f>'t1'!B7</f>
        <v>013504</v>
      </c>
      <c r="C7" s="293">
        <f>'t1'!C7+'t1'!D7</f>
        <v>0</v>
      </c>
      <c r="D7" s="293">
        <f>'t5'!U8+'t5'!V8</f>
        <v>0</v>
      </c>
      <c r="E7" s="294">
        <f>'t6'!U8+'t6'!V8</f>
        <v>0</v>
      </c>
      <c r="F7" s="294">
        <f>'t4'!O16</f>
        <v>0</v>
      </c>
      <c r="G7" s="294">
        <f>'t4'!D27</f>
        <v>0</v>
      </c>
      <c r="H7" s="294">
        <f t="shared" si="0"/>
        <v>0</v>
      </c>
      <c r="I7" s="294">
        <f>'t1'!K7+'t1'!L7</f>
        <v>0</v>
      </c>
      <c r="J7" s="88" t="str">
        <f t="shared" si="1"/>
        <v>OK</v>
      </c>
    </row>
    <row r="8" spans="1:13" ht="12.75" customHeight="1" x14ac:dyDescent="0.2">
      <c r="A8" s="580" t="str">
        <f>'t1'!A8</f>
        <v>DIRETTORE DELL UFFICIO DI RAGIONERIA (EP1)</v>
      </c>
      <c r="B8" s="152" t="str">
        <f>'t1'!B8</f>
        <v>013159</v>
      </c>
      <c r="C8" s="293">
        <f>'t1'!C8+'t1'!D8</f>
        <v>0</v>
      </c>
      <c r="D8" s="293">
        <f>'t5'!U9+'t5'!V9</f>
        <v>0</v>
      </c>
      <c r="E8" s="294">
        <f>'t6'!U9+'t6'!V9</f>
        <v>0</v>
      </c>
      <c r="F8" s="294">
        <f>'t4'!O17</f>
        <v>0</v>
      </c>
      <c r="G8" s="294">
        <f>'t4'!E27</f>
        <v>0</v>
      </c>
      <c r="H8" s="294">
        <f t="shared" si="0"/>
        <v>0</v>
      </c>
      <c r="I8" s="294">
        <f>'t1'!K8+'t1'!L8</f>
        <v>0</v>
      </c>
      <c r="J8" s="88" t="str">
        <f t="shared" si="1"/>
        <v>OK</v>
      </c>
    </row>
    <row r="9" spans="1:13" ht="12.75" customHeight="1" x14ac:dyDescent="0.2">
      <c r="A9" s="580" t="str">
        <f>'t1'!A9</f>
        <v>COLLABORATORE AREA III</v>
      </c>
      <c r="B9" s="152" t="str">
        <f>'t1'!B9</f>
        <v>013CTE</v>
      </c>
      <c r="C9" s="293">
        <f>'t1'!C9+'t1'!D9</f>
        <v>1</v>
      </c>
      <c r="D9" s="293">
        <f>'t5'!U10+'t5'!V10</f>
        <v>0</v>
      </c>
      <c r="E9" s="294">
        <f>'t6'!U10+'t6'!V10</f>
        <v>0</v>
      </c>
      <c r="F9" s="294">
        <f>'t4'!O18</f>
        <v>0</v>
      </c>
      <c r="G9" s="294">
        <f>'t4'!F27</f>
        <v>0</v>
      </c>
      <c r="H9" s="294">
        <f t="shared" si="0"/>
        <v>1</v>
      </c>
      <c r="I9" s="294">
        <f>'t1'!K9+'t1'!L9</f>
        <v>1</v>
      </c>
      <c r="J9" s="88" t="str">
        <f t="shared" si="1"/>
        <v>OK</v>
      </c>
    </row>
    <row r="10" spans="1:13" ht="12.75" customHeight="1" x14ac:dyDescent="0.2">
      <c r="A10" s="580" t="str">
        <f>'t1'!A10</f>
        <v>ASSISTENTE AREA II</v>
      </c>
      <c r="B10" s="152" t="str">
        <f>'t1'!B10</f>
        <v>012117</v>
      </c>
      <c r="C10" s="293">
        <f>'t1'!C10+'t1'!D10</f>
        <v>12</v>
      </c>
      <c r="D10" s="293">
        <f>'t5'!U11+'t5'!V11</f>
        <v>0</v>
      </c>
      <c r="E10" s="294">
        <f>'t6'!U11+'t6'!V11</f>
        <v>1</v>
      </c>
      <c r="F10" s="294">
        <f>'t4'!O19</f>
        <v>0</v>
      </c>
      <c r="G10" s="294">
        <f>'t4'!G27</f>
        <v>0</v>
      </c>
      <c r="H10" s="294">
        <f t="shared" si="0"/>
        <v>13</v>
      </c>
      <c r="I10" s="294">
        <f>'t1'!K10+'t1'!L10</f>
        <v>13</v>
      </c>
      <c r="J10" s="88" t="str">
        <f t="shared" si="1"/>
        <v>OK</v>
      </c>
    </row>
    <row r="11" spans="1:13" ht="12.75" customHeight="1" x14ac:dyDescent="0.2">
      <c r="A11" s="580" t="str">
        <f>'t1'!A11</f>
        <v>COADIUTORE AREA I</v>
      </c>
      <c r="B11" s="152" t="str">
        <f>'t1'!B11</f>
        <v>011121</v>
      </c>
      <c r="C11" s="293">
        <f>'t1'!C11+'t1'!D11</f>
        <v>13</v>
      </c>
      <c r="D11" s="293">
        <f>'t5'!U12+'t5'!V12</f>
        <v>0</v>
      </c>
      <c r="E11" s="294">
        <f>'t6'!U12+'t6'!V12</f>
        <v>0</v>
      </c>
      <c r="F11" s="294">
        <f>'t4'!O20</f>
        <v>0</v>
      </c>
      <c r="G11" s="294">
        <f>'t4'!H27</f>
        <v>1</v>
      </c>
      <c r="H11" s="294">
        <f t="shared" si="0"/>
        <v>14</v>
      </c>
      <c r="I11" s="294">
        <f>'t1'!K11+'t1'!L11</f>
        <v>14</v>
      </c>
      <c r="J11" s="88" t="str">
        <f t="shared" si="1"/>
        <v>OK</v>
      </c>
    </row>
    <row r="12" spans="1:13" ht="12.75" customHeight="1" x14ac:dyDescent="0.2">
      <c r="A12" s="580" t="str">
        <f>'t1'!A12</f>
        <v>PROFESSORI DI PRIMA FASCIA TEMPO DET.ANNUALE</v>
      </c>
      <c r="B12" s="152" t="str">
        <f>'t1'!B12</f>
        <v>018PD1</v>
      </c>
      <c r="C12" s="585"/>
      <c r="D12" s="585"/>
      <c r="E12" s="585"/>
      <c r="F12" s="585"/>
      <c r="G12" s="585"/>
      <c r="H12" s="585"/>
      <c r="I12" s="585"/>
      <c r="J12" s="586"/>
    </row>
    <row r="13" spans="1:13" ht="12.75" customHeight="1" x14ac:dyDescent="0.2">
      <c r="A13" s="580" t="str">
        <f>'t1'!A13</f>
        <v>DIRETTORE AMMINISTRATIVO TEMPO DET.ANNUALE (EP2)</v>
      </c>
      <c r="B13" s="152" t="str">
        <f>'t1'!B13</f>
        <v>013EP2</v>
      </c>
      <c r="C13" s="585"/>
      <c r="D13" s="585"/>
      <c r="E13" s="585"/>
      <c r="F13" s="585"/>
      <c r="G13" s="585"/>
      <c r="H13" s="585"/>
      <c r="I13" s="585"/>
      <c r="J13" s="586"/>
    </row>
    <row r="14" spans="1:13" ht="12.75" customHeight="1" x14ac:dyDescent="0.2">
      <c r="A14" s="580" t="str">
        <f>'t1'!A14</f>
        <v>DIRETTORE DELL UFFICIO DI RAGIONERIA TEMPO DET.ANNUALE (EP1)</v>
      </c>
      <c r="B14" s="152" t="str">
        <f>'t1'!B14</f>
        <v>013160</v>
      </c>
      <c r="C14" s="585"/>
      <c r="D14" s="585"/>
      <c r="E14" s="585"/>
      <c r="F14" s="585"/>
      <c r="G14" s="585"/>
      <c r="H14" s="585"/>
      <c r="I14" s="585"/>
      <c r="J14" s="586"/>
    </row>
    <row r="15" spans="1:13" ht="12.75" customHeight="1" x14ac:dyDescent="0.2">
      <c r="A15" s="580" t="str">
        <f>'t1'!A15</f>
        <v>COLLABORATORE AREA III TEMPO DET. ANNUALE</v>
      </c>
      <c r="B15" s="152" t="str">
        <f>'t1'!B15</f>
        <v>013CDE</v>
      </c>
      <c r="C15" s="585"/>
      <c r="D15" s="585"/>
      <c r="E15" s="585"/>
      <c r="F15" s="585"/>
      <c r="G15" s="585"/>
      <c r="H15" s="585"/>
      <c r="I15" s="585"/>
      <c r="J15" s="586"/>
    </row>
    <row r="16" spans="1:13" ht="12.75" customHeight="1" x14ac:dyDescent="0.2">
      <c r="A16" s="580" t="str">
        <f>'t1'!A16</f>
        <v>ASSISTENTE AREA II TEMPO DET. ANNUALE</v>
      </c>
      <c r="B16" s="152" t="str">
        <f>'t1'!B16</f>
        <v>012118</v>
      </c>
      <c r="C16" s="585"/>
      <c r="D16" s="585"/>
      <c r="E16" s="585"/>
      <c r="F16" s="585"/>
      <c r="G16" s="585"/>
      <c r="H16" s="585"/>
      <c r="I16" s="585"/>
      <c r="J16" s="586"/>
    </row>
    <row r="17" spans="1:20" ht="12.75" customHeight="1" x14ac:dyDescent="0.2">
      <c r="A17" s="580" t="str">
        <f>'t1'!A17</f>
        <v>COADIUTORE AREA I TEMPO DET.ANNUALE</v>
      </c>
      <c r="B17" s="152" t="str">
        <f>'t1'!B17</f>
        <v>011124</v>
      </c>
      <c r="C17" s="585"/>
      <c r="D17" s="585"/>
      <c r="E17" s="585"/>
      <c r="F17" s="585"/>
      <c r="G17" s="585"/>
      <c r="H17" s="585"/>
      <c r="I17" s="585"/>
      <c r="J17" s="586"/>
    </row>
    <row r="18" spans="1:20" s="300" customFormat="1" ht="15.75" customHeight="1" x14ac:dyDescent="0.2">
      <c r="A18" s="581" t="str">
        <f>'t1'!A18</f>
        <v>TOTALE</v>
      </c>
      <c r="B18" s="171"/>
      <c r="C18" s="316">
        <f t="shared" ref="C18:I18" si="2">SUM(C6:C17)</f>
        <v>119</v>
      </c>
      <c r="D18" s="316">
        <f t="shared" si="2"/>
        <v>9</v>
      </c>
      <c r="E18" s="316">
        <f t="shared" si="2"/>
        <v>6</v>
      </c>
      <c r="F18" s="316">
        <f t="shared" si="2"/>
        <v>0</v>
      </c>
      <c r="G18" s="316">
        <f t="shared" si="2"/>
        <v>1</v>
      </c>
      <c r="H18" s="316">
        <f t="shared" si="2"/>
        <v>117</v>
      </c>
      <c r="I18" s="316">
        <f t="shared" si="2"/>
        <v>117</v>
      </c>
      <c r="J18" s="145" t="str">
        <f>IF(H18=I18,"OK","ERRORE")</f>
        <v>OK</v>
      </c>
    </row>
    <row r="23" spans="1:20" x14ac:dyDescent="0.2">
      <c r="F23" s="313"/>
      <c r="G23" s="313"/>
      <c r="H23" s="313"/>
      <c r="I23" s="313"/>
      <c r="J23" s="313"/>
      <c r="K23" s="314"/>
      <c r="L23" s="314"/>
      <c r="M23" s="314"/>
      <c r="N23" s="314"/>
      <c r="O23" s="314"/>
      <c r="P23" s="314"/>
      <c r="Q23" s="314"/>
      <c r="R23" s="314"/>
      <c r="S23" s="314"/>
      <c r="T23" s="314"/>
    </row>
    <row r="27" spans="1:20" x14ac:dyDescent="0.2">
      <c r="G27" s="313"/>
    </row>
    <row r="28" spans="1:20" x14ac:dyDescent="0.2">
      <c r="G28" s="313"/>
    </row>
    <row r="29" spans="1:20" x14ac:dyDescent="0.2">
      <c r="G29" s="313"/>
    </row>
    <row r="30" spans="1:20" x14ac:dyDescent="0.2">
      <c r="G30" s="313"/>
    </row>
    <row r="31" spans="1:20" x14ac:dyDescent="0.2">
      <c r="G31" s="313"/>
    </row>
    <row r="32" spans="1:20" x14ac:dyDescent="0.2">
      <c r="G32" s="314"/>
    </row>
    <row r="33" spans="7:7" x14ac:dyDescent="0.2">
      <c r="G33" s="314"/>
    </row>
    <row r="34" spans="7:7" x14ac:dyDescent="0.2">
      <c r="G34" s="314"/>
    </row>
    <row r="35" spans="7:7" x14ac:dyDescent="0.2">
      <c r="G35" s="314"/>
    </row>
    <row r="36" spans="7:7" x14ac:dyDescent="0.2">
      <c r="G36" s="314"/>
    </row>
    <row r="37" spans="7:7" x14ac:dyDescent="0.2">
      <c r="G37" s="314"/>
    </row>
    <row r="38" spans="7:7" x14ac:dyDescent="0.2">
      <c r="G38" s="314"/>
    </row>
    <row r="39" spans="7:7" x14ac:dyDescent="0.2">
      <c r="G39" s="314"/>
    </row>
    <row r="40" spans="7:7" x14ac:dyDescent="0.2">
      <c r="G40" s="314"/>
    </row>
    <row r="41" spans="7:7" x14ac:dyDescent="0.2">
      <c r="G41" s="314"/>
    </row>
  </sheetData>
  <sheetProtection password="DD41" sheet="1" formatColumns="0" selectLockedCells="1" selectUnlockedCells="1"/>
  <dataConsolidate/>
  <mergeCells count="2">
    <mergeCell ref="A1:H1"/>
    <mergeCell ref="D2:J2"/>
  </mergeCells>
  <phoneticPr fontId="30" type="noConversion"/>
  <printOptions horizontalCentered="1" verticalCentered="1"/>
  <pageMargins left="0" right="0" top="0.15748031496062992" bottom="0.15748031496062992" header="0.19685039370078741" footer="0.19685039370078741"/>
  <pageSetup paperSize="9" scale="85" orientation="landscape" horizontalDpi="300" verticalDpi="4294967292"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3"/>
  <dimension ref="A1:M19"/>
  <sheetViews>
    <sheetView showGridLines="0" workbookViewId="0">
      <pane xSplit="2" ySplit="6" topLeftCell="C7" activePane="bottomRight" state="frozen"/>
      <selection activeCell="E11" sqref="E11"/>
      <selection pane="topRight" activeCell="E11" sqref="E11"/>
      <selection pane="bottomLeft" activeCell="E11" sqref="E11"/>
      <selection pane="bottomRight" activeCell="A6" sqref="A6"/>
    </sheetView>
  </sheetViews>
  <sheetFormatPr defaultColWidth="9.28515625" defaultRowHeight="10.199999999999999" x14ac:dyDescent="0.2"/>
  <cols>
    <col min="1" max="1" width="57.7109375" style="3" customWidth="1"/>
    <col min="2" max="2" width="12.42578125" style="2" customWidth="1"/>
    <col min="3" max="3" width="11" style="2" customWidth="1"/>
    <col min="4" max="5" width="12.42578125" style="2" customWidth="1"/>
    <col min="6" max="7" width="10.7109375" style="2" customWidth="1"/>
    <col min="8" max="8" width="11" style="2" customWidth="1"/>
    <col min="9" max="10" width="12.42578125" style="2" customWidth="1"/>
    <col min="11" max="11" width="10.7109375" style="2" customWidth="1"/>
    <col min="12" max="12" width="10.7109375" style="3" customWidth="1"/>
    <col min="13" max="16384" width="9.28515625" style="3"/>
  </cols>
  <sheetData>
    <row r="1" spans="1:13" ht="43.5" customHeight="1" x14ac:dyDescent="0.2">
      <c r="A1" s="1097" t="str">
        <f>'t1'!A1</f>
        <v>AFAM - anno 2023</v>
      </c>
      <c r="B1" s="1097"/>
      <c r="C1" s="1097"/>
      <c r="D1" s="1097"/>
      <c r="E1" s="1097"/>
      <c r="F1" s="1097"/>
      <c r="G1" s="1097"/>
      <c r="H1" s="1097"/>
      <c r="I1" s="1097"/>
      <c r="J1" s="1097"/>
      <c r="K1" s="3"/>
      <c r="L1" s="268"/>
      <c r="M1"/>
    </row>
    <row r="2" spans="1:13" ht="12.75" customHeight="1" x14ac:dyDescent="0.2">
      <c r="B2" s="3"/>
      <c r="C2" s="3"/>
      <c r="D2" s="3"/>
      <c r="E2" s="1207"/>
      <c r="F2" s="1207"/>
      <c r="G2" s="1207"/>
      <c r="H2" s="1207"/>
      <c r="I2" s="1207"/>
      <c r="J2" s="1207"/>
      <c r="K2" s="1207"/>
      <c r="L2" s="1207"/>
      <c r="M2"/>
    </row>
    <row r="3" spans="1:13" ht="21" customHeight="1" x14ac:dyDescent="0.25">
      <c r="A3" s="161" t="str">
        <f>"Tavola di coerenza tra presenti al 31.12."&amp;'t1'!L1&amp;" rilevati nelle Tabelle 1, 7, 8 e 9 (Squadratura 2)"</f>
        <v>Tavola di coerenza tra presenti al 31.12.2023 rilevati nelle Tabelle 1, 7, 8 e 9 (Squadratura 2)</v>
      </c>
      <c r="C3" s="3"/>
      <c r="D3" s="3"/>
      <c r="E3" s="3"/>
      <c r="F3" s="3"/>
      <c r="G3" s="3"/>
      <c r="H3" s="3"/>
      <c r="I3" s="3"/>
      <c r="J3" s="3"/>
      <c r="K3" s="3"/>
    </row>
    <row r="4" spans="1:13" s="87" customFormat="1" ht="11.25" customHeight="1" x14ac:dyDescent="0.25">
      <c r="A4" s="154"/>
      <c r="B4" s="154"/>
      <c r="C4" s="1208" t="s">
        <v>218</v>
      </c>
      <c r="D4" s="1209"/>
      <c r="E4" s="1209"/>
      <c r="F4" s="1209"/>
      <c r="G4" s="1210"/>
      <c r="H4" s="1208" t="s">
        <v>219</v>
      </c>
      <c r="I4" s="1209"/>
      <c r="J4" s="1209"/>
      <c r="K4" s="1209"/>
      <c r="L4" s="1210"/>
    </row>
    <row r="5" spans="1:13" ht="70.5" customHeight="1" x14ac:dyDescent="0.2">
      <c r="A5" s="146" t="s">
        <v>159</v>
      </c>
      <c r="B5" s="146" t="s">
        <v>158</v>
      </c>
      <c r="C5" s="153" t="str">
        <f>"Presenti 31.12."&amp;'t1'!L1&amp;" (Tab 1)"</f>
        <v>Presenti 31.12.2023 (Tab 1)</v>
      </c>
      <c r="D5" s="150" t="s">
        <v>169</v>
      </c>
      <c r="E5" s="150" t="s">
        <v>170</v>
      </c>
      <c r="F5" s="150" t="s">
        <v>7</v>
      </c>
      <c r="G5" s="150" t="s">
        <v>168</v>
      </c>
      <c r="H5" s="153" t="str">
        <f>"Presenti 31.12."&amp;'t1'!L1&amp;" (Tab 1)"</f>
        <v>Presenti 31.12.2023 (Tab 1)</v>
      </c>
      <c r="I5" s="150" t="s">
        <v>169</v>
      </c>
      <c r="J5" s="150" t="s">
        <v>170</v>
      </c>
      <c r="K5" s="150" t="s">
        <v>7</v>
      </c>
      <c r="L5" s="150" t="s">
        <v>168</v>
      </c>
    </row>
    <row r="6" spans="1:13" x14ac:dyDescent="0.2">
      <c r="A6" s="147"/>
      <c r="B6" s="147"/>
      <c r="C6" s="155" t="s">
        <v>160</v>
      </c>
      <c r="D6" s="155" t="s">
        <v>161</v>
      </c>
      <c r="E6" s="155" t="s">
        <v>162</v>
      </c>
      <c r="F6" s="155" t="s">
        <v>163</v>
      </c>
      <c r="G6" s="156" t="s">
        <v>186</v>
      </c>
      <c r="H6" s="155" t="s">
        <v>164</v>
      </c>
      <c r="I6" s="155" t="s">
        <v>184</v>
      </c>
      <c r="J6" s="155" t="s">
        <v>166</v>
      </c>
      <c r="K6" s="155" t="s">
        <v>174</v>
      </c>
      <c r="L6" s="156" t="s">
        <v>187</v>
      </c>
    </row>
    <row r="7" spans="1:13" ht="12.75" customHeight="1" x14ac:dyDescent="0.2">
      <c r="A7" s="109" t="str">
        <f>'t1'!A6</f>
        <v>PROFESSORI DI PRIMA FASCIA</v>
      </c>
      <c r="B7" s="152" t="str">
        <f>'t1'!B6</f>
        <v>018P01</v>
      </c>
      <c r="C7" s="293">
        <f>'t1'!K6</f>
        <v>68</v>
      </c>
      <c r="D7" s="293">
        <f>'t7'!W6</f>
        <v>68</v>
      </c>
      <c r="E7" s="294">
        <f>'t8'!AA6</f>
        <v>68</v>
      </c>
      <c r="F7" s="294">
        <f>'t9'!O6</f>
        <v>68</v>
      </c>
      <c r="G7" s="88" t="str">
        <f t="shared" ref="G7:G18" si="0">IF(COUNTIF(C7:F7,C7)=4,"OK","ERRORE")</f>
        <v>OK</v>
      </c>
      <c r="H7" s="294">
        <f>'t1'!L6</f>
        <v>21</v>
      </c>
      <c r="I7" s="294">
        <f>'t7'!X6</f>
        <v>21</v>
      </c>
      <c r="J7" s="294">
        <f>'t8'!AB6</f>
        <v>21</v>
      </c>
      <c r="K7" s="293">
        <f>'t9'!P6</f>
        <v>21</v>
      </c>
      <c r="L7" s="88" t="str">
        <f t="shared" ref="L7:L18" si="1">IF(COUNTIF(H7:K7,H7)=4,"OK","ERRORE")</f>
        <v>OK</v>
      </c>
    </row>
    <row r="8" spans="1:13" ht="12.75" customHeight="1" x14ac:dyDescent="0.2">
      <c r="A8" s="109" t="str">
        <f>'t1'!A7</f>
        <v>DIRETTORE AMMINISTRATIVO EP2</v>
      </c>
      <c r="B8" s="152" t="str">
        <f>'t1'!B7</f>
        <v>013504</v>
      </c>
      <c r="C8" s="293">
        <f>'t1'!K7</f>
        <v>0</v>
      </c>
      <c r="D8" s="293">
        <f>'t7'!W7</f>
        <v>0</v>
      </c>
      <c r="E8" s="294">
        <f>'t8'!AA7</f>
        <v>0</v>
      </c>
      <c r="F8" s="294">
        <f>'t9'!O7</f>
        <v>0</v>
      </c>
      <c r="G8" s="88" t="str">
        <f t="shared" si="0"/>
        <v>OK</v>
      </c>
      <c r="H8" s="294">
        <f>'t1'!L7</f>
        <v>0</v>
      </c>
      <c r="I8" s="294">
        <f>'t7'!X7</f>
        <v>0</v>
      </c>
      <c r="J8" s="294">
        <f>'t8'!AB7</f>
        <v>0</v>
      </c>
      <c r="K8" s="293">
        <f>'t9'!P7</f>
        <v>0</v>
      </c>
      <c r="L8" s="88" t="str">
        <f t="shared" si="1"/>
        <v>OK</v>
      </c>
    </row>
    <row r="9" spans="1:13" ht="12.75" customHeight="1" x14ac:dyDescent="0.2">
      <c r="A9" s="109" t="str">
        <f>'t1'!A8</f>
        <v>DIRETTORE DELL UFFICIO DI RAGIONERIA (EP1)</v>
      </c>
      <c r="B9" s="152" t="str">
        <f>'t1'!B8</f>
        <v>013159</v>
      </c>
      <c r="C9" s="293">
        <f>'t1'!K8</f>
        <v>0</v>
      </c>
      <c r="D9" s="293">
        <f>'t7'!W8</f>
        <v>0</v>
      </c>
      <c r="E9" s="294">
        <f>'t8'!AA8</f>
        <v>0</v>
      </c>
      <c r="F9" s="294">
        <f>'t9'!O8</f>
        <v>0</v>
      </c>
      <c r="G9" s="88" t="str">
        <f t="shared" si="0"/>
        <v>OK</v>
      </c>
      <c r="H9" s="294">
        <f>'t1'!L8</f>
        <v>0</v>
      </c>
      <c r="I9" s="294">
        <f>'t7'!X8</f>
        <v>0</v>
      </c>
      <c r="J9" s="294">
        <f>'t8'!AB8</f>
        <v>0</v>
      </c>
      <c r="K9" s="293">
        <f>'t9'!P8</f>
        <v>0</v>
      </c>
      <c r="L9" s="88" t="str">
        <f t="shared" si="1"/>
        <v>OK</v>
      </c>
    </row>
    <row r="10" spans="1:13" ht="12.75" customHeight="1" x14ac:dyDescent="0.2">
      <c r="A10" s="109" t="str">
        <f>'t1'!A9</f>
        <v>COLLABORATORE AREA III</v>
      </c>
      <c r="B10" s="152" t="str">
        <f>'t1'!B9</f>
        <v>013CTE</v>
      </c>
      <c r="C10" s="293">
        <f>'t1'!K9</f>
        <v>0</v>
      </c>
      <c r="D10" s="293">
        <f>'t7'!W9</f>
        <v>0</v>
      </c>
      <c r="E10" s="294">
        <f>'t8'!AA9</f>
        <v>0</v>
      </c>
      <c r="F10" s="294">
        <f>'t9'!O9</f>
        <v>0</v>
      </c>
      <c r="G10" s="88" t="str">
        <f t="shared" si="0"/>
        <v>OK</v>
      </c>
      <c r="H10" s="294">
        <f>'t1'!L9</f>
        <v>1</v>
      </c>
      <c r="I10" s="294">
        <f>'t7'!X9</f>
        <v>1</v>
      </c>
      <c r="J10" s="294">
        <f>'t8'!AB9</f>
        <v>1</v>
      </c>
      <c r="K10" s="293">
        <f>'t9'!P9</f>
        <v>1</v>
      </c>
      <c r="L10" s="88" t="str">
        <f t="shared" si="1"/>
        <v>OK</v>
      </c>
    </row>
    <row r="11" spans="1:13" ht="12.75" customHeight="1" x14ac:dyDescent="0.2">
      <c r="A11" s="109" t="str">
        <f>'t1'!A10</f>
        <v>ASSISTENTE AREA II</v>
      </c>
      <c r="B11" s="152" t="str">
        <f>'t1'!B10</f>
        <v>012117</v>
      </c>
      <c r="C11" s="293">
        <f>'t1'!K10</f>
        <v>4</v>
      </c>
      <c r="D11" s="293">
        <f>'t7'!W10</f>
        <v>4</v>
      </c>
      <c r="E11" s="294">
        <f>'t8'!AA10</f>
        <v>4</v>
      </c>
      <c r="F11" s="294">
        <f>'t9'!O10</f>
        <v>4</v>
      </c>
      <c r="G11" s="88" t="str">
        <f t="shared" si="0"/>
        <v>OK</v>
      </c>
      <c r="H11" s="294">
        <f>'t1'!L10</f>
        <v>9</v>
      </c>
      <c r="I11" s="294">
        <f>'t7'!X10</f>
        <v>9</v>
      </c>
      <c r="J11" s="294">
        <f>'t8'!AB10</f>
        <v>9</v>
      </c>
      <c r="K11" s="293">
        <f>'t9'!P10</f>
        <v>9</v>
      </c>
      <c r="L11" s="88" t="str">
        <f t="shared" si="1"/>
        <v>OK</v>
      </c>
    </row>
    <row r="12" spans="1:13" ht="12.75" customHeight="1" x14ac:dyDescent="0.2">
      <c r="A12" s="109" t="str">
        <f>'t1'!A11</f>
        <v>COADIUTORE AREA I</v>
      </c>
      <c r="B12" s="152" t="str">
        <f>'t1'!B11</f>
        <v>011121</v>
      </c>
      <c r="C12" s="293">
        <f>'t1'!K11</f>
        <v>1</v>
      </c>
      <c r="D12" s="293">
        <f>'t7'!W11</f>
        <v>1</v>
      </c>
      <c r="E12" s="294">
        <f>'t8'!AA11</f>
        <v>1</v>
      </c>
      <c r="F12" s="294">
        <f>'t9'!O11</f>
        <v>1</v>
      </c>
      <c r="G12" s="88" t="str">
        <f t="shared" si="0"/>
        <v>OK</v>
      </c>
      <c r="H12" s="294">
        <f>'t1'!L11</f>
        <v>13</v>
      </c>
      <c r="I12" s="294">
        <f>'t7'!X11</f>
        <v>13</v>
      </c>
      <c r="J12" s="294">
        <f>'t8'!AB11</f>
        <v>13</v>
      </c>
      <c r="K12" s="293">
        <f>'t9'!P11</f>
        <v>13</v>
      </c>
      <c r="L12" s="88" t="str">
        <f t="shared" si="1"/>
        <v>OK</v>
      </c>
    </row>
    <row r="13" spans="1:13" ht="12.75" customHeight="1" x14ac:dyDescent="0.2">
      <c r="A13" s="109" t="str">
        <f>'t1'!A12</f>
        <v>PROFESSORI DI PRIMA FASCIA TEMPO DET.ANNUALE</v>
      </c>
      <c r="B13" s="152" t="str">
        <f>'t1'!B12</f>
        <v>018PD1</v>
      </c>
      <c r="C13" s="293">
        <f>'t1'!K12</f>
        <v>14</v>
      </c>
      <c r="D13" s="293">
        <f>'t7'!W12</f>
        <v>14</v>
      </c>
      <c r="E13" s="294">
        <f>'t8'!AA12</f>
        <v>14</v>
      </c>
      <c r="F13" s="294">
        <f>'t9'!O12</f>
        <v>14</v>
      </c>
      <c r="G13" s="88" t="str">
        <f t="shared" si="0"/>
        <v>OK</v>
      </c>
      <c r="H13" s="294">
        <f>'t1'!L12</f>
        <v>7</v>
      </c>
      <c r="I13" s="294">
        <f>'t7'!X12</f>
        <v>7</v>
      </c>
      <c r="J13" s="294">
        <f>'t8'!AB12</f>
        <v>7</v>
      </c>
      <c r="K13" s="293">
        <f>'t9'!P12</f>
        <v>7</v>
      </c>
      <c r="L13" s="88" t="str">
        <f t="shared" si="1"/>
        <v>OK</v>
      </c>
    </row>
    <row r="14" spans="1:13" ht="12.75" customHeight="1" x14ac:dyDescent="0.2">
      <c r="A14" s="109" t="str">
        <f>'t1'!A13</f>
        <v>DIRETTORE AMMINISTRATIVO TEMPO DET.ANNUALE (EP2)</v>
      </c>
      <c r="B14" s="152" t="str">
        <f>'t1'!B13</f>
        <v>013EP2</v>
      </c>
      <c r="C14" s="293">
        <f>'t1'!K13</f>
        <v>1</v>
      </c>
      <c r="D14" s="293">
        <f>'t7'!W13</f>
        <v>1</v>
      </c>
      <c r="E14" s="294">
        <f>'t8'!AA13</f>
        <v>1</v>
      </c>
      <c r="F14" s="294">
        <f>'t9'!O13</f>
        <v>1</v>
      </c>
      <c r="G14" s="88" t="str">
        <f t="shared" si="0"/>
        <v>OK</v>
      </c>
      <c r="H14" s="294">
        <f>'t1'!L13</f>
        <v>0</v>
      </c>
      <c r="I14" s="294">
        <f>'t7'!X13</f>
        <v>0</v>
      </c>
      <c r="J14" s="294">
        <f>'t8'!AB13</f>
        <v>0</v>
      </c>
      <c r="K14" s="293">
        <f>'t9'!P13</f>
        <v>0</v>
      </c>
      <c r="L14" s="88" t="str">
        <f t="shared" si="1"/>
        <v>OK</v>
      </c>
    </row>
    <row r="15" spans="1:13" ht="12.75" customHeight="1" x14ac:dyDescent="0.2">
      <c r="A15" s="109" t="str">
        <f>'t1'!A14</f>
        <v>DIRETTORE DELL UFFICIO DI RAGIONERIA TEMPO DET.ANNUALE (EP1)</v>
      </c>
      <c r="B15" s="152" t="str">
        <f>'t1'!B14</f>
        <v>013160</v>
      </c>
      <c r="C15" s="293">
        <f>'t1'!K14</f>
        <v>0</v>
      </c>
      <c r="D15" s="293">
        <f>'t7'!W14</f>
        <v>0</v>
      </c>
      <c r="E15" s="294">
        <f>'t8'!AA14</f>
        <v>0</v>
      </c>
      <c r="F15" s="294">
        <f>'t9'!O14</f>
        <v>0</v>
      </c>
      <c r="G15" s="88" t="str">
        <f t="shared" si="0"/>
        <v>OK</v>
      </c>
      <c r="H15" s="294">
        <f>'t1'!L14</f>
        <v>1</v>
      </c>
      <c r="I15" s="294">
        <f>'t7'!X14</f>
        <v>1</v>
      </c>
      <c r="J15" s="294">
        <f>'t8'!AB14</f>
        <v>1</v>
      </c>
      <c r="K15" s="293">
        <f>'t9'!P14</f>
        <v>1</v>
      </c>
      <c r="L15" s="88" t="str">
        <f t="shared" si="1"/>
        <v>OK</v>
      </c>
    </row>
    <row r="16" spans="1:13" ht="12.75" customHeight="1" x14ac:dyDescent="0.2">
      <c r="A16" s="109" t="str">
        <f>'t1'!A15</f>
        <v>COLLABORATORE AREA III TEMPO DET. ANNUALE</v>
      </c>
      <c r="B16" s="152" t="str">
        <f>'t1'!B15</f>
        <v>013CDE</v>
      </c>
      <c r="C16" s="293">
        <f>'t1'!K15</f>
        <v>0</v>
      </c>
      <c r="D16" s="293">
        <f>'t7'!W15</f>
        <v>0</v>
      </c>
      <c r="E16" s="294">
        <f>'t8'!AA15</f>
        <v>0</v>
      </c>
      <c r="F16" s="294">
        <f>'t9'!O15</f>
        <v>0</v>
      </c>
      <c r="G16" s="88" t="str">
        <f t="shared" si="0"/>
        <v>OK</v>
      </c>
      <c r="H16" s="294">
        <f>'t1'!L15</f>
        <v>0</v>
      </c>
      <c r="I16" s="294">
        <f>'t7'!X15</f>
        <v>0</v>
      </c>
      <c r="J16" s="294">
        <f>'t8'!AB15</f>
        <v>0</v>
      </c>
      <c r="K16" s="293">
        <f>'t9'!P15</f>
        <v>0</v>
      </c>
      <c r="L16" s="88" t="str">
        <f t="shared" si="1"/>
        <v>OK</v>
      </c>
    </row>
    <row r="17" spans="1:12" ht="12.75" customHeight="1" x14ac:dyDescent="0.2">
      <c r="A17" s="109" t="str">
        <f>'t1'!A16</f>
        <v>ASSISTENTE AREA II TEMPO DET. ANNUALE</v>
      </c>
      <c r="B17" s="152" t="str">
        <f>'t1'!B16</f>
        <v>012118</v>
      </c>
      <c r="C17" s="293">
        <f>'t1'!K16</f>
        <v>0</v>
      </c>
      <c r="D17" s="293">
        <f>'t7'!W16</f>
        <v>0</v>
      </c>
      <c r="E17" s="294">
        <f>'t8'!AA16</f>
        <v>0</v>
      </c>
      <c r="F17" s="294">
        <f>'t9'!O16</f>
        <v>0</v>
      </c>
      <c r="G17" s="88" t="str">
        <f t="shared" si="0"/>
        <v>OK</v>
      </c>
      <c r="H17" s="294">
        <f>'t1'!L16</f>
        <v>6</v>
      </c>
      <c r="I17" s="294">
        <f>'t7'!X16</f>
        <v>6</v>
      </c>
      <c r="J17" s="294">
        <f>'t8'!AB16</f>
        <v>6</v>
      </c>
      <c r="K17" s="293">
        <f>'t9'!P16</f>
        <v>6</v>
      </c>
      <c r="L17" s="88" t="str">
        <f t="shared" si="1"/>
        <v>OK</v>
      </c>
    </row>
    <row r="18" spans="1:12" ht="12.75" customHeight="1" x14ac:dyDescent="0.2">
      <c r="A18" s="109" t="str">
        <f>'t1'!A17</f>
        <v>COADIUTORE AREA I TEMPO DET.ANNUALE</v>
      </c>
      <c r="B18" s="152" t="str">
        <f>'t1'!B17</f>
        <v>011124</v>
      </c>
      <c r="C18" s="293">
        <f>'t1'!K17</f>
        <v>1</v>
      </c>
      <c r="D18" s="293">
        <f>'t7'!W17</f>
        <v>1</v>
      </c>
      <c r="E18" s="294">
        <f>'t8'!AA17</f>
        <v>1</v>
      </c>
      <c r="F18" s="294">
        <f>'t9'!O17</f>
        <v>1</v>
      </c>
      <c r="G18" s="88" t="str">
        <f t="shared" si="0"/>
        <v>OK</v>
      </c>
      <c r="H18" s="294">
        <f>'t1'!L17</f>
        <v>4</v>
      </c>
      <c r="I18" s="294">
        <f>'t7'!X17</f>
        <v>4</v>
      </c>
      <c r="J18" s="294">
        <f>'t8'!AB17</f>
        <v>4</v>
      </c>
      <c r="K18" s="293">
        <f>'t9'!P17</f>
        <v>4</v>
      </c>
      <c r="L18" s="88" t="str">
        <f t="shared" si="1"/>
        <v>OK</v>
      </c>
    </row>
    <row r="19" spans="1:12" ht="15.75" customHeight="1" x14ac:dyDescent="0.2">
      <c r="A19" s="109" t="str">
        <f>'t1'!A18</f>
        <v>TOTALE</v>
      </c>
      <c r="B19" s="144"/>
      <c r="C19" s="294">
        <f>SUM(C7:C18)</f>
        <v>89</v>
      </c>
      <c r="D19" s="294">
        <f>SUM(D7:D18)</f>
        <v>89</v>
      </c>
      <c r="E19" s="294">
        <f>SUM(E7:E18)</f>
        <v>89</v>
      </c>
      <c r="F19" s="294">
        <f>SUM(F7:F18)</f>
        <v>89</v>
      </c>
      <c r="G19" s="88" t="str">
        <f>IF(COUNTIF(C19:F19,C19)=4,"OK","ERRORE")</f>
        <v>OK</v>
      </c>
      <c r="H19" s="294">
        <f>SUM(H7:H18)</f>
        <v>62</v>
      </c>
      <c r="I19" s="294">
        <f>SUM(I7:I18)</f>
        <v>62</v>
      </c>
      <c r="J19" s="294">
        <f>SUM(J7:J18)</f>
        <v>62</v>
      </c>
      <c r="K19" s="294">
        <f>SUM(K7:K18)</f>
        <v>62</v>
      </c>
      <c r="L19" s="88" t="str">
        <f>IF(COUNTIF(H19:K19,H19)=4,"OK","ERRORE")</f>
        <v>OK</v>
      </c>
    </row>
  </sheetData>
  <sheetProtection password="DD41" sheet="1" formatColumns="0" selectLockedCells="1" selectUnlockedCells="1"/>
  <mergeCells count="4">
    <mergeCell ref="C4:G4"/>
    <mergeCell ref="H4:L4"/>
    <mergeCell ref="E2:L2"/>
    <mergeCell ref="A1:J1"/>
  </mergeCells>
  <phoneticPr fontId="30" type="noConversion"/>
  <printOptions horizontalCentered="1" verticalCentered="1"/>
  <pageMargins left="0" right="0" top="0.15748031496062992" bottom="0.15748031496062992" header="0.19685039370078741" footer="0.15748031496062992"/>
  <pageSetup paperSize="9" scale="80" orientation="landscape" horizontalDpi="300" verticalDpi="4294967292"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tabColor indexed="10"/>
  </sheetPr>
  <dimension ref="A1:V20"/>
  <sheetViews>
    <sheetView showGridLines="0" workbookViewId="0">
      <pane xSplit="2" ySplit="7" topLeftCell="D17" activePane="bottomRight" state="frozen"/>
      <selection activeCell="E11" sqref="E11"/>
      <selection pane="topRight" activeCell="E11" sqref="E11"/>
      <selection pane="bottomLeft" activeCell="E11" sqref="E11"/>
      <selection pane="bottomRight" activeCell="B7" sqref="B7"/>
    </sheetView>
  </sheetViews>
  <sheetFormatPr defaultColWidth="9.28515625" defaultRowHeight="10.199999999999999" x14ac:dyDescent="0.2"/>
  <cols>
    <col min="1" max="1" width="57.7109375" style="3" customWidth="1"/>
    <col min="2" max="2" width="11" style="2" customWidth="1"/>
    <col min="3" max="3" width="10.7109375" style="2" customWidth="1"/>
    <col min="4" max="5" width="12.7109375" style="2" customWidth="1"/>
    <col min="6" max="6" width="13.7109375" style="2" customWidth="1"/>
    <col min="7" max="10" width="12.7109375" style="2" customWidth="1"/>
    <col min="11" max="12" width="13.28515625" style="2" customWidth="1"/>
    <col min="13" max="13" width="10.7109375" style="2" customWidth="1"/>
    <col min="14" max="20" width="12.7109375" style="2" customWidth="1"/>
    <col min="21" max="22" width="13.28515625" style="2" customWidth="1"/>
    <col min="23" max="16384" width="9.28515625" style="3"/>
  </cols>
  <sheetData>
    <row r="1" spans="1:22" ht="30" customHeight="1" x14ac:dyDescent="0.2">
      <c r="A1" s="1097" t="str">
        <f>'t1'!A1</f>
        <v>AFAM - anno 2023</v>
      </c>
      <c r="B1" s="1097"/>
      <c r="C1" s="1097"/>
      <c r="D1" s="1097"/>
      <c r="E1" s="1097"/>
      <c r="F1" s="1097"/>
      <c r="G1" s="1097"/>
      <c r="H1" s="1097"/>
      <c r="I1" s="1097"/>
      <c r="J1" s="1097"/>
      <c r="K1" s="1097"/>
      <c r="L1" s="1097"/>
      <c r="M1" s="1097"/>
      <c r="N1" s="1097"/>
      <c r="O1" s="1097"/>
      <c r="P1" s="1097"/>
      <c r="Q1" s="1097"/>
      <c r="R1" s="1097"/>
      <c r="S1" s="1097"/>
      <c r="T1" s="1097"/>
      <c r="U1" s="1097"/>
      <c r="V1" s="3"/>
    </row>
    <row r="2" spans="1:22" ht="36" customHeight="1" x14ac:dyDescent="0.3">
      <c r="A2" s="1213" t="s">
        <v>498</v>
      </c>
      <c r="B2" s="1213"/>
      <c r="C2" s="1213"/>
      <c r="D2" s="1213"/>
      <c r="E2" s="1213"/>
      <c r="F2" s="1213"/>
      <c r="G2" s="1213"/>
      <c r="H2" s="1213"/>
      <c r="I2" s="1213"/>
      <c r="J2" s="1213"/>
      <c r="K2" s="1213"/>
      <c r="L2" s="626"/>
      <c r="M2" s="413"/>
      <c r="N2" s="413"/>
      <c r="O2" s="413"/>
      <c r="P2" s="413"/>
      <c r="Q2" s="413"/>
      <c r="R2" s="413"/>
      <c r="S2" s="413"/>
      <c r="T2" s="413"/>
      <c r="U2" s="413"/>
      <c r="V2" s="626"/>
    </row>
    <row r="3" spans="1:22" ht="18.75" customHeight="1" x14ac:dyDescent="0.25">
      <c r="A3" s="161" t="str">
        <f>"Tavola di coerenza tra presenti al 31.12."&amp;'t1'!L1&amp;" rilevati in Tabella 1 con il personale rilevato in Tabella 3 e con i presenti rilevati in Tabella 10 (Squadratura 3)(*)"</f>
        <v>Tavola di coerenza tra presenti al 31.12.2023 rilevati in Tabella 1 con il personale rilevato in Tabella 3 e con i presenti rilevati in Tabella 10 (Squadratura 3)(*)</v>
      </c>
      <c r="C3" s="3"/>
      <c r="D3" s="3"/>
      <c r="E3" s="3"/>
      <c r="F3" s="3"/>
      <c r="G3" s="3"/>
      <c r="H3" s="3"/>
      <c r="I3" s="3"/>
      <c r="J3" s="3"/>
      <c r="K3" s="3"/>
      <c r="L3" s="3"/>
      <c r="M3" s="3"/>
      <c r="N3" s="3"/>
      <c r="O3" s="3"/>
      <c r="P3" s="3"/>
      <c r="Q3" s="3"/>
      <c r="R3" s="3"/>
      <c r="S3" s="3"/>
      <c r="T3" s="3"/>
      <c r="U3" s="3"/>
      <c r="V3" s="3"/>
    </row>
    <row r="4" spans="1:22" ht="11.4" x14ac:dyDescent="0.2">
      <c r="A4" s="273" t="s">
        <v>189</v>
      </c>
      <c r="C4" s="3"/>
      <c r="D4" s="3"/>
      <c r="E4" s="3"/>
      <c r="F4" s="3"/>
      <c r="G4" s="3"/>
      <c r="H4" s="3"/>
      <c r="I4" s="3"/>
      <c r="J4" s="3"/>
      <c r="K4" s="3"/>
      <c r="L4" s="3"/>
      <c r="M4" s="3"/>
      <c r="N4" s="3"/>
      <c r="O4" s="3"/>
      <c r="P4" s="3"/>
      <c r="Q4" s="3"/>
      <c r="R4" s="3"/>
      <c r="S4" s="3"/>
      <c r="T4" s="3"/>
      <c r="U4" s="3"/>
      <c r="V4" s="3"/>
    </row>
    <row r="5" spans="1:22" ht="13.2" x14ac:dyDescent="0.25">
      <c r="A5" s="147"/>
      <c r="B5" s="88"/>
      <c r="C5" s="1211" t="s">
        <v>218</v>
      </c>
      <c r="D5" s="1212"/>
      <c r="E5" s="1212"/>
      <c r="F5" s="1212"/>
      <c r="G5" s="1212"/>
      <c r="H5" s="1212"/>
      <c r="I5" s="1212"/>
      <c r="J5" s="1212"/>
      <c r="K5" s="1212"/>
      <c r="L5" s="1212"/>
      <c r="M5" s="1211" t="s">
        <v>219</v>
      </c>
      <c r="N5" s="1212"/>
      <c r="O5" s="1212"/>
      <c r="P5" s="1212"/>
      <c r="Q5" s="1212"/>
      <c r="R5" s="1212"/>
      <c r="S5" s="1212"/>
      <c r="T5" s="1212"/>
      <c r="U5" s="1212"/>
      <c r="V5" s="1212"/>
    </row>
    <row r="6" spans="1:22" s="160" customFormat="1" ht="51" x14ac:dyDescent="0.2">
      <c r="A6" s="150" t="s">
        <v>159</v>
      </c>
      <c r="B6" s="150" t="s">
        <v>158</v>
      </c>
      <c r="C6" s="150" t="str">
        <f>"Presenti 31.12."&amp;'t1'!L1&amp;" (Tab 1)"</f>
        <v>Presenti 31.12.2023 (Tab 1)</v>
      </c>
      <c r="D6" s="150" t="s">
        <v>172</v>
      </c>
      <c r="E6" s="150" t="s">
        <v>171</v>
      </c>
      <c r="F6" s="150" t="s">
        <v>271</v>
      </c>
      <c r="G6" s="150" t="s">
        <v>188</v>
      </c>
      <c r="H6" s="150" t="s">
        <v>173</v>
      </c>
      <c r="I6" s="150" t="s">
        <v>272</v>
      </c>
      <c r="J6" s="495" t="s">
        <v>564</v>
      </c>
      <c r="K6" s="150" t="s">
        <v>190</v>
      </c>
      <c r="L6" s="495" t="s">
        <v>492</v>
      </c>
      <c r="M6" s="150" t="str">
        <f>"Presenti 31.12."&amp;'t1'!L1&amp;" (Tab 1)"</f>
        <v>Presenti 31.12.2023 (Tab 1)</v>
      </c>
      <c r="N6" s="150" t="s">
        <v>172</v>
      </c>
      <c r="O6" s="150" t="s">
        <v>171</v>
      </c>
      <c r="P6" s="150" t="s">
        <v>271</v>
      </c>
      <c r="Q6" s="150" t="s">
        <v>188</v>
      </c>
      <c r="R6" s="150" t="s">
        <v>173</v>
      </c>
      <c r="S6" s="150" t="s">
        <v>272</v>
      </c>
      <c r="T6" s="495" t="s">
        <v>564</v>
      </c>
      <c r="U6" s="150" t="s">
        <v>190</v>
      </c>
      <c r="V6" s="495" t="s">
        <v>492</v>
      </c>
    </row>
    <row r="7" spans="1:22" s="158" customFormat="1" ht="20.399999999999999" x14ac:dyDescent="0.2">
      <c r="A7" s="157"/>
      <c r="B7" s="157"/>
      <c r="C7" s="155" t="s">
        <v>160</v>
      </c>
      <c r="D7" s="155" t="s">
        <v>161</v>
      </c>
      <c r="E7" s="155" t="s">
        <v>162</v>
      </c>
      <c r="F7" s="155" t="s">
        <v>163</v>
      </c>
      <c r="G7" s="156" t="s">
        <v>164</v>
      </c>
      <c r="H7" s="156" t="s">
        <v>184</v>
      </c>
      <c r="I7" s="156" t="s">
        <v>166</v>
      </c>
      <c r="J7" s="156" t="s">
        <v>175</v>
      </c>
      <c r="K7" s="156" t="s">
        <v>4</v>
      </c>
      <c r="L7" s="156" t="s">
        <v>493</v>
      </c>
      <c r="M7" s="155" t="s">
        <v>176</v>
      </c>
      <c r="N7" s="155" t="s">
        <v>177</v>
      </c>
      <c r="O7" s="155" t="s">
        <v>178</v>
      </c>
      <c r="P7" s="155" t="s">
        <v>273</v>
      </c>
      <c r="Q7" s="156" t="s">
        <v>179</v>
      </c>
      <c r="R7" s="156" t="s">
        <v>274</v>
      </c>
      <c r="S7" s="156" t="s">
        <v>275</v>
      </c>
      <c r="T7" s="156" t="s">
        <v>276</v>
      </c>
      <c r="U7" s="156" t="s">
        <v>5</v>
      </c>
      <c r="V7" s="156" t="s">
        <v>494</v>
      </c>
    </row>
    <row r="8" spans="1:22" ht="12.75" customHeight="1" x14ac:dyDescent="0.2">
      <c r="A8" s="109" t="str">
        <f>'t1'!A6</f>
        <v>PROFESSORI DI PRIMA FASCIA</v>
      </c>
      <c r="B8" s="152" t="str">
        <f>'t1'!B6</f>
        <v>018P01</v>
      </c>
      <c r="C8" s="293">
        <f>'t1'!K6</f>
        <v>68</v>
      </c>
      <c r="D8" s="293">
        <f>'t3'!K6</f>
        <v>0</v>
      </c>
      <c r="E8" s="294">
        <f>'t3'!M6</f>
        <v>0</v>
      </c>
      <c r="F8" s="294">
        <f>'t3'!O6</f>
        <v>0</v>
      </c>
      <c r="G8" s="294">
        <f>'t3'!C6</f>
        <v>2</v>
      </c>
      <c r="H8" s="294">
        <f>'t3'!E6</f>
        <v>0</v>
      </c>
      <c r="I8" s="294">
        <f>'t3'!G6</f>
        <v>0</v>
      </c>
      <c r="J8" s="294">
        <f>'t3'!I6</f>
        <v>0</v>
      </c>
      <c r="K8" s="294">
        <f>C8+D8+E8+F8-G8-H8-I8-J8</f>
        <v>66</v>
      </c>
      <c r="L8" s="294" t="str">
        <f t="shared" ref="L8:L20" si="0">IF(C8&lt;(G8+H8+I8+J8),"ERRORE","OK")</f>
        <v>OK</v>
      </c>
      <c r="M8" s="293">
        <f>'t1'!L6</f>
        <v>21</v>
      </c>
      <c r="N8" s="293">
        <f>'t3'!L6</f>
        <v>0</v>
      </c>
      <c r="O8" s="294">
        <f>'t3'!N6</f>
        <v>0</v>
      </c>
      <c r="P8" s="294">
        <f>'t3'!P6</f>
        <v>0</v>
      </c>
      <c r="Q8" s="294">
        <f>'t3'!D6</f>
        <v>1</v>
      </c>
      <c r="R8" s="294">
        <f>'t3'!F6</f>
        <v>0</v>
      </c>
      <c r="S8" s="294">
        <f>'t3'!H6</f>
        <v>0</v>
      </c>
      <c r="T8" s="294">
        <f>'t3'!J6</f>
        <v>0</v>
      </c>
      <c r="U8" s="294">
        <f>M8+N8+O8+P8-Q8-R8-S8-T8</f>
        <v>20</v>
      </c>
      <c r="V8" s="294" t="str">
        <f t="shared" ref="V8:V20" si="1">IF(M8&lt;(Q8+R8+S8+T8),"ERRORE","OK")</f>
        <v>OK</v>
      </c>
    </row>
    <row r="9" spans="1:22" ht="12.75" customHeight="1" x14ac:dyDescent="0.2">
      <c r="A9" s="109" t="str">
        <f>'t1'!A7</f>
        <v>DIRETTORE AMMINISTRATIVO EP2</v>
      </c>
      <c r="B9" s="152" t="str">
        <f>'t1'!B7</f>
        <v>013504</v>
      </c>
      <c r="C9" s="293">
        <f>'t1'!K7</f>
        <v>0</v>
      </c>
      <c r="D9" s="293">
        <f>'t3'!K7</f>
        <v>0</v>
      </c>
      <c r="E9" s="294">
        <f>'t3'!M7</f>
        <v>0</v>
      </c>
      <c r="F9" s="294">
        <f>'t3'!O7</f>
        <v>0</v>
      </c>
      <c r="G9" s="294">
        <f>'t3'!C7</f>
        <v>0</v>
      </c>
      <c r="H9" s="294">
        <f>'t3'!E7</f>
        <v>0</v>
      </c>
      <c r="I9" s="294">
        <f>'t3'!G7</f>
        <v>0</v>
      </c>
      <c r="J9" s="294">
        <f>'t3'!I7</f>
        <v>0</v>
      </c>
      <c r="K9" s="294">
        <f t="shared" ref="K9:K20" si="2">C9+D9+E9+F9-G9-H9-I9-J9</f>
        <v>0</v>
      </c>
      <c r="L9" s="294" t="str">
        <f t="shared" si="0"/>
        <v>OK</v>
      </c>
      <c r="M9" s="293">
        <f>'t1'!L7</f>
        <v>0</v>
      </c>
      <c r="N9" s="293">
        <f>'t3'!L7</f>
        <v>0</v>
      </c>
      <c r="O9" s="294">
        <f>'t3'!N7</f>
        <v>0</v>
      </c>
      <c r="P9" s="294">
        <f>'t3'!P7</f>
        <v>0</v>
      </c>
      <c r="Q9" s="294">
        <f>'t3'!D7</f>
        <v>0</v>
      </c>
      <c r="R9" s="294">
        <f>'t3'!F7</f>
        <v>0</v>
      </c>
      <c r="S9" s="294">
        <f>'t3'!H7</f>
        <v>0</v>
      </c>
      <c r="T9" s="294">
        <f>'t3'!J7</f>
        <v>0</v>
      </c>
      <c r="U9" s="294">
        <f t="shared" ref="U9:U20" si="3">M9+N9+O9+P9-Q9-R9-S9-T9</f>
        <v>0</v>
      </c>
      <c r="V9" s="294" t="str">
        <f t="shared" si="1"/>
        <v>OK</v>
      </c>
    </row>
    <row r="10" spans="1:22" ht="12.75" customHeight="1" x14ac:dyDescent="0.2">
      <c r="A10" s="109" t="str">
        <f>'t1'!A8</f>
        <v>DIRETTORE DELL UFFICIO DI RAGIONERIA (EP1)</v>
      </c>
      <c r="B10" s="152" t="str">
        <f>'t1'!B8</f>
        <v>013159</v>
      </c>
      <c r="C10" s="293">
        <f>'t1'!K8</f>
        <v>0</v>
      </c>
      <c r="D10" s="293">
        <f>'t3'!K8</f>
        <v>0</v>
      </c>
      <c r="E10" s="294">
        <f>'t3'!M8</f>
        <v>0</v>
      </c>
      <c r="F10" s="294">
        <f>'t3'!O8</f>
        <v>0</v>
      </c>
      <c r="G10" s="294">
        <f>'t3'!C8</f>
        <v>0</v>
      </c>
      <c r="H10" s="294">
        <f>'t3'!E8</f>
        <v>0</v>
      </c>
      <c r="I10" s="294">
        <f>'t3'!G8</f>
        <v>0</v>
      </c>
      <c r="J10" s="294">
        <f>'t3'!I8</f>
        <v>0</v>
      </c>
      <c r="K10" s="294">
        <f t="shared" si="2"/>
        <v>0</v>
      </c>
      <c r="L10" s="294" t="str">
        <f t="shared" si="0"/>
        <v>OK</v>
      </c>
      <c r="M10" s="293">
        <f>'t1'!L8</f>
        <v>0</v>
      </c>
      <c r="N10" s="293">
        <f>'t3'!L8</f>
        <v>0</v>
      </c>
      <c r="O10" s="294">
        <f>'t3'!N8</f>
        <v>0</v>
      </c>
      <c r="P10" s="294">
        <f>'t3'!P8</f>
        <v>0</v>
      </c>
      <c r="Q10" s="294">
        <f>'t3'!D8</f>
        <v>0</v>
      </c>
      <c r="R10" s="294">
        <f>'t3'!F8</f>
        <v>0</v>
      </c>
      <c r="S10" s="294">
        <f>'t3'!H8</f>
        <v>0</v>
      </c>
      <c r="T10" s="294">
        <f>'t3'!J8</f>
        <v>0</v>
      </c>
      <c r="U10" s="294">
        <f t="shared" si="3"/>
        <v>0</v>
      </c>
      <c r="V10" s="294" t="str">
        <f t="shared" si="1"/>
        <v>OK</v>
      </c>
    </row>
    <row r="11" spans="1:22" ht="12.75" customHeight="1" x14ac:dyDescent="0.2">
      <c r="A11" s="109" t="str">
        <f>'t1'!A9</f>
        <v>COLLABORATORE AREA III</v>
      </c>
      <c r="B11" s="152" t="str">
        <f>'t1'!B9</f>
        <v>013CTE</v>
      </c>
      <c r="C11" s="293">
        <f>'t1'!K9</f>
        <v>0</v>
      </c>
      <c r="D11" s="293">
        <f>'t3'!K9</f>
        <v>0</v>
      </c>
      <c r="E11" s="294">
        <f>'t3'!M9</f>
        <v>0</v>
      </c>
      <c r="F11" s="294">
        <f>'t3'!O9</f>
        <v>0</v>
      </c>
      <c r="G11" s="294">
        <f>'t3'!C9</f>
        <v>0</v>
      </c>
      <c r="H11" s="294">
        <f>'t3'!E9</f>
        <v>0</v>
      </c>
      <c r="I11" s="294">
        <f>'t3'!G9</f>
        <v>0</v>
      </c>
      <c r="J11" s="294">
        <f>'t3'!I9</f>
        <v>0</v>
      </c>
      <c r="K11" s="294">
        <f t="shared" si="2"/>
        <v>0</v>
      </c>
      <c r="L11" s="294" t="str">
        <f t="shared" si="0"/>
        <v>OK</v>
      </c>
      <c r="M11" s="293">
        <f>'t1'!L9</f>
        <v>1</v>
      </c>
      <c r="N11" s="293">
        <f>'t3'!L9</f>
        <v>0</v>
      </c>
      <c r="O11" s="294">
        <f>'t3'!N9</f>
        <v>0</v>
      </c>
      <c r="P11" s="294">
        <f>'t3'!P9</f>
        <v>0</v>
      </c>
      <c r="Q11" s="294">
        <f>'t3'!D9</f>
        <v>0</v>
      </c>
      <c r="R11" s="294">
        <f>'t3'!F9</f>
        <v>0</v>
      </c>
      <c r="S11" s="294">
        <f>'t3'!H9</f>
        <v>0</v>
      </c>
      <c r="T11" s="294">
        <f>'t3'!J9</f>
        <v>0</v>
      </c>
      <c r="U11" s="294">
        <f t="shared" si="3"/>
        <v>1</v>
      </c>
      <c r="V11" s="294" t="str">
        <f t="shared" si="1"/>
        <v>OK</v>
      </c>
    </row>
    <row r="12" spans="1:22" ht="12.75" customHeight="1" x14ac:dyDescent="0.2">
      <c r="A12" s="109" t="str">
        <f>'t1'!A10</f>
        <v>ASSISTENTE AREA II</v>
      </c>
      <c r="B12" s="152" t="str">
        <f>'t1'!B10</f>
        <v>012117</v>
      </c>
      <c r="C12" s="293">
        <f>'t1'!K10</f>
        <v>4</v>
      </c>
      <c r="D12" s="293">
        <f>'t3'!K10</f>
        <v>0</v>
      </c>
      <c r="E12" s="294">
        <f>'t3'!M10</f>
        <v>0</v>
      </c>
      <c r="F12" s="294">
        <f>'t3'!O10</f>
        <v>0</v>
      </c>
      <c r="G12" s="294">
        <f>'t3'!C10</f>
        <v>0</v>
      </c>
      <c r="H12" s="294">
        <f>'t3'!E10</f>
        <v>0</v>
      </c>
      <c r="I12" s="294">
        <f>'t3'!G10</f>
        <v>0</v>
      </c>
      <c r="J12" s="294">
        <f>'t3'!I10</f>
        <v>0</v>
      </c>
      <c r="K12" s="294">
        <f t="shared" si="2"/>
        <v>4</v>
      </c>
      <c r="L12" s="294" t="str">
        <f t="shared" si="0"/>
        <v>OK</v>
      </c>
      <c r="M12" s="293">
        <f>'t1'!L10</f>
        <v>9</v>
      </c>
      <c r="N12" s="293">
        <f>'t3'!L10</f>
        <v>0</v>
      </c>
      <c r="O12" s="294">
        <f>'t3'!N10</f>
        <v>0</v>
      </c>
      <c r="P12" s="294">
        <f>'t3'!P10</f>
        <v>0</v>
      </c>
      <c r="Q12" s="294">
        <f>'t3'!D10</f>
        <v>0</v>
      </c>
      <c r="R12" s="294">
        <f>'t3'!F10</f>
        <v>0</v>
      </c>
      <c r="S12" s="294">
        <f>'t3'!H10</f>
        <v>0</v>
      </c>
      <c r="T12" s="294">
        <f>'t3'!J10</f>
        <v>1</v>
      </c>
      <c r="U12" s="294">
        <f t="shared" si="3"/>
        <v>8</v>
      </c>
      <c r="V12" s="294" t="str">
        <f t="shared" si="1"/>
        <v>OK</v>
      </c>
    </row>
    <row r="13" spans="1:22" ht="12.75" customHeight="1" x14ac:dyDescent="0.2">
      <c r="A13" s="109" t="str">
        <f>'t1'!A11</f>
        <v>COADIUTORE AREA I</v>
      </c>
      <c r="B13" s="152" t="str">
        <f>'t1'!B11</f>
        <v>011121</v>
      </c>
      <c r="C13" s="293">
        <f>'t1'!K11</f>
        <v>1</v>
      </c>
      <c r="D13" s="293">
        <f>'t3'!K11</f>
        <v>0</v>
      </c>
      <c r="E13" s="294">
        <f>'t3'!M11</f>
        <v>0</v>
      </c>
      <c r="F13" s="294">
        <f>'t3'!O11</f>
        <v>0</v>
      </c>
      <c r="G13" s="294">
        <f>'t3'!C11</f>
        <v>0</v>
      </c>
      <c r="H13" s="294">
        <f>'t3'!E11</f>
        <v>0</v>
      </c>
      <c r="I13" s="294">
        <f>'t3'!G11</f>
        <v>0</v>
      </c>
      <c r="J13" s="294">
        <f>'t3'!I11</f>
        <v>0</v>
      </c>
      <c r="K13" s="294">
        <f t="shared" si="2"/>
        <v>1</v>
      </c>
      <c r="L13" s="294" t="str">
        <f t="shared" si="0"/>
        <v>OK</v>
      </c>
      <c r="M13" s="293">
        <f>'t1'!L11</f>
        <v>13</v>
      </c>
      <c r="N13" s="293">
        <f>'t3'!L11</f>
        <v>0</v>
      </c>
      <c r="O13" s="294">
        <f>'t3'!N11</f>
        <v>0</v>
      </c>
      <c r="P13" s="294">
        <f>'t3'!P11</f>
        <v>0</v>
      </c>
      <c r="Q13" s="294">
        <f>'t3'!D11</f>
        <v>0</v>
      </c>
      <c r="R13" s="294">
        <f>'t3'!F11</f>
        <v>0</v>
      </c>
      <c r="S13" s="294">
        <f>'t3'!H11</f>
        <v>0</v>
      </c>
      <c r="T13" s="294">
        <f>'t3'!J11</f>
        <v>0</v>
      </c>
      <c r="U13" s="294">
        <f t="shared" si="3"/>
        <v>13</v>
      </c>
      <c r="V13" s="294" t="str">
        <f t="shared" si="1"/>
        <v>OK</v>
      </c>
    </row>
    <row r="14" spans="1:22" ht="12.75" customHeight="1" x14ac:dyDescent="0.2">
      <c r="A14" s="109" t="str">
        <f>'t1'!A12</f>
        <v>PROFESSORI DI PRIMA FASCIA TEMPO DET.ANNUALE</v>
      </c>
      <c r="B14" s="152" t="str">
        <f>'t1'!B12</f>
        <v>018PD1</v>
      </c>
      <c r="C14" s="293">
        <f>'t1'!K12</f>
        <v>14</v>
      </c>
      <c r="D14" s="293">
        <f>'t3'!K12</f>
        <v>0</v>
      </c>
      <c r="E14" s="294">
        <f>'t3'!M12</f>
        <v>0</v>
      </c>
      <c r="F14" s="294">
        <f>'t3'!O12</f>
        <v>0</v>
      </c>
      <c r="G14" s="294">
        <f>'t3'!C12</f>
        <v>0</v>
      </c>
      <c r="H14" s="294">
        <f>'t3'!E12</f>
        <v>0</v>
      </c>
      <c r="I14" s="294">
        <f>'t3'!G12</f>
        <v>0</v>
      </c>
      <c r="J14" s="294">
        <f>'t3'!I12</f>
        <v>0</v>
      </c>
      <c r="K14" s="294">
        <f t="shared" si="2"/>
        <v>14</v>
      </c>
      <c r="L14" s="294" t="str">
        <f t="shared" si="0"/>
        <v>OK</v>
      </c>
      <c r="M14" s="293">
        <f>'t1'!L12</f>
        <v>7</v>
      </c>
      <c r="N14" s="293">
        <f>'t3'!L12</f>
        <v>0</v>
      </c>
      <c r="O14" s="294">
        <f>'t3'!N12</f>
        <v>0</v>
      </c>
      <c r="P14" s="294">
        <f>'t3'!P12</f>
        <v>0</v>
      </c>
      <c r="Q14" s="294">
        <f>'t3'!D12</f>
        <v>0</v>
      </c>
      <c r="R14" s="294">
        <f>'t3'!F12</f>
        <v>0</v>
      </c>
      <c r="S14" s="294">
        <f>'t3'!H12</f>
        <v>0</v>
      </c>
      <c r="T14" s="294">
        <f>'t3'!J12</f>
        <v>0</v>
      </c>
      <c r="U14" s="294">
        <f t="shared" si="3"/>
        <v>7</v>
      </c>
      <c r="V14" s="294" t="str">
        <f t="shared" si="1"/>
        <v>OK</v>
      </c>
    </row>
    <row r="15" spans="1:22" ht="12.75" customHeight="1" x14ac:dyDescent="0.2">
      <c r="A15" s="109" t="str">
        <f>'t1'!A13</f>
        <v>DIRETTORE AMMINISTRATIVO TEMPO DET.ANNUALE (EP2)</v>
      </c>
      <c r="B15" s="152" t="str">
        <f>'t1'!B13</f>
        <v>013EP2</v>
      </c>
      <c r="C15" s="293">
        <f>'t1'!K13</f>
        <v>1</v>
      </c>
      <c r="D15" s="293">
        <f>'t3'!K13</f>
        <v>0</v>
      </c>
      <c r="E15" s="294">
        <f>'t3'!M13</f>
        <v>0</v>
      </c>
      <c r="F15" s="294">
        <f>'t3'!O13</f>
        <v>0</v>
      </c>
      <c r="G15" s="294">
        <f>'t3'!C13</f>
        <v>0</v>
      </c>
      <c r="H15" s="294">
        <f>'t3'!E13</f>
        <v>0</v>
      </c>
      <c r="I15" s="294">
        <f>'t3'!G13</f>
        <v>0</v>
      </c>
      <c r="J15" s="294">
        <f>'t3'!I13</f>
        <v>0</v>
      </c>
      <c r="K15" s="294">
        <f t="shared" si="2"/>
        <v>1</v>
      </c>
      <c r="L15" s="294" t="str">
        <f t="shared" si="0"/>
        <v>OK</v>
      </c>
      <c r="M15" s="293">
        <f>'t1'!L13</f>
        <v>0</v>
      </c>
      <c r="N15" s="293">
        <f>'t3'!L13</f>
        <v>0</v>
      </c>
      <c r="O15" s="294">
        <f>'t3'!N13</f>
        <v>0</v>
      </c>
      <c r="P15" s="294">
        <f>'t3'!P13</f>
        <v>0</v>
      </c>
      <c r="Q15" s="294">
        <f>'t3'!D13</f>
        <v>0</v>
      </c>
      <c r="R15" s="294">
        <f>'t3'!F13</f>
        <v>0</v>
      </c>
      <c r="S15" s="294">
        <f>'t3'!H13</f>
        <v>0</v>
      </c>
      <c r="T15" s="294">
        <f>'t3'!J13</f>
        <v>0</v>
      </c>
      <c r="U15" s="294">
        <f t="shared" si="3"/>
        <v>0</v>
      </c>
      <c r="V15" s="294" t="str">
        <f t="shared" si="1"/>
        <v>OK</v>
      </c>
    </row>
    <row r="16" spans="1:22" ht="12.75" customHeight="1" x14ac:dyDescent="0.2">
      <c r="A16" s="109" t="str">
        <f>'t1'!A14</f>
        <v>DIRETTORE DELL UFFICIO DI RAGIONERIA TEMPO DET.ANNUALE (EP1)</v>
      </c>
      <c r="B16" s="152" t="str">
        <f>'t1'!B14</f>
        <v>013160</v>
      </c>
      <c r="C16" s="293">
        <f>'t1'!K14</f>
        <v>0</v>
      </c>
      <c r="D16" s="293">
        <f>'t3'!K14</f>
        <v>0</v>
      </c>
      <c r="E16" s="294">
        <f>'t3'!M14</f>
        <v>0</v>
      </c>
      <c r="F16" s="294">
        <f>'t3'!O14</f>
        <v>0</v>
      </c>
      <c r="G16" s="294">
        <f>'t3'!C14</f>
        <v>0</v>
      </c>
      <c r="H16" s="294">
        <f>'t3'!E14</f>
        <v>0</v>
      </c>
      <c r="I16" s="294">
        <f>'t3'!G14</f>
        <v>0</v>
      </c>
      <c r="J16" s="294">
        <f>'t3'!I14</f>
        <v>0</v>
      </c>
      <c r="K16" s="294">
        <f t="shared" si="2"/>
        <v>0</v>
      </c>
      <c r="L16" s="294" t="str">
        <f t="shared" si="0"/>
        <v>OK</v>
      </c>
      <c r="M16" s="293">
        <f>'t1'!L14</f>
        <v>1</v>
      </c>
      <c r="N16" s="293">
        <f>'t3'!L14</f>
        <v>0</v>
      </c>
      <c r="O16" s="294">
        <f>'t3'!N14</f>
        <v>0</v>
      </c>
      <c r="P16" s="294">
        <f>'t3'!P14</f>
        <v>0</v>
      </c>
      <c r="Q16" s="294">
        <f>'t3'!D14</f>
        <v>0</v>
      </c>
      <c r="R16" s="294">
        <f>'t3'!F14</f>
        <v>0</v>
      </c>
      <c r="S16" s="294">
        <f>'t3'!H14</f>
        <v>0</v>
      </c>
      <c r="T16" s="294">
        <f>'t3'!J14</f>
        <v>0</v>
      </c>
      <c r="U16" s="294">
        <f t="shared" si="3"/>
        <v>1</v>
      </c>
      <c r="V16" s="294" t="str">
        <f t="shared" si="1"/>
        <v>OK</v>
      </c>
    </row>
    <row r="17" spans="1:22" ht="12.75" customHeight="1" x14ac:dyDescent="0.2">
      <c r="A17" s="109" t="str">
        <f>'t1'!A15</f>
        <v>COLLABORATORE AREA III TEMPO DET. ANNUALE</v>
      </c>
      <c r="B17" s="152" t="str">
        <f>'t1'!B15</f>
        <v>013CDE</v>
      </c>
      <c r="C17" s="293">
        <f>'t1'!K15</f>
        <v>0</v>
      </c>
      <c r="D17" s="293">
        <f>'t3'!K15</f>
        <v>0</v>
      </c>
      <c r="E17" s="294">
        <f>'t3'!M15</f>
        <v>0</v>
      </c>
      <c r="F17" s="294">
        <f>'t3'!O15</f>
        <v>0</v>
      </c>
      <c r="G17" s="294">
        <f>'t3'!C15</f>
        <v>0</v>
      </c>
      <c r="H17" s="294">
        <f>'t3'!E15</f>
        <v>0</v>
      </c>
      <c r="I17" s="294">
        <f>'t3'!G15</f>
        <v>0</v>
      </c>
      <c r="J17" s="294">
        <f>'t3'!I15</f>
        <v>0</v>
      </c>
      <c r="K17" s="294">
        <f t="shared" si="2"/>
        <v>0</v>
      </c>
      <c r="L17" s="294" t="str">
        <f t="shared" si="0"/>
        <v>OK</v>
      </c>
      <c r="M17" s="293">
        <f>'t1'!L15</f>
        <v>0</v>
      </c>
      <c r="N17" s="293">
        <f>'t3'!L15</f>
        <v>0</v>
      </c>
      <c r="O17" s="294">
        <f>'t3'!N15</f>
        <v>0</v>
      </c>
      <c r="P17" s="294">
        <f>'t3'!P15</f>
        <v>0</v>
      </c>
      <c r="Q17" s="294">
        <f>'t3'!D15</f>
        <v>0</v>
      </c>
      <c r="R17" s="294">
        <f>'t3'!F15</f>
        <v>0</v>
      </c>
      <c r="S17" s="294">
        <f>'t3'!H15</f>
        <v>0</v>
      </c>
      <c r="T17" s="294">
        <f>'t3'!J15</f>
        <v>0</v>
      </c>
      <c r="U17" s="294">
        <f t="shared" si="3"/>
        <v>0</v>
      </c>
      <c r="V17" s="294" t="str">
        <f t="shared" si="1"/>
        <v>OK</v>
      </c>
    </row>
    <row r="18" spans="1:22" ht="12.75" customHeight="1" x14ac:dyDescent="0.2">
      <c r="A18" s="109" t="str">
        <f>'t1'!A16</f>
        <v>ASSISTENTE AREA II TEMPO DET. ANNUALE</v>
      </c>
      <c r="B18" s="152" t="str">
        <f>'t1'!B16</f>
        <v>012118</v>
      </c>
      <c r="C18" s="293">
        <f>'t1'!K16</f>
        <v>0</v>
      </c>
      <c r="D18" s="293">
        <f>'t3'!K16</f>
        <v>0</v>
      </c>
      <c r="E18" s="294">
        <f>'t3'!M16</f>
        <v>0</v>
      </c>
      <c r="F18" s="294">
        <f>'t3'!O16</f>
        <v>0</v>
      </c>
      <c r="G18" s="294">
        <f>'t3'!C16</f>
        <v>0</v>
      </c>
      <c r="H18" s="294">
        <f>'t3'!E16</f>
        <v>0</v>
      </c>
      <c r="I18" s="294">
        <f>'t3'!G16</f>
        <v>0</v>
      </c>
      <c r="J18" s="294">
        <f>'t3'!I16</f>
        <v>0</v>
      </c>
      <c r="K18" s="294">
        <f t="shared" si="2"/>
        <v>0</v>
      </c>
      <c r="L18" s="294" t="str">
        <f t="shared" si="0"/>
        <v>OK</v>
      </c>
      <c r="M18" s="293">
        <f>'t1'!L16</f>
        <v>6</v>
      </c>
      <c r="N18" s="293">
        <f>'t3'!L16</f>
        <v>0</v>
      </c>
      <c r="O18" s="294">
        <f>'t3'!N16</f>
        <v>0</v>
      </c>
      <c r="P18" s="294">
        <f>'t3'!P16</f>
        <v>0</v>
      </c>
      <c r="Q18" s="294">
        <f>'t3'!D16</f>
        <v>0</v>
      </c>
      <c r="R18" s="294">
        <f>'t3'!F16</f>
        <v>0</v>
      </c>
      <c r="S18" s="294">
        <f>'t3'!H16</f>
        <v>0</v>
      </c>
      <c r="T18" s="294">
        <f>'t3'!J16</f>
        <v>0</v>
      </c>
      <c r="U18" s="294">
        <f t="shared" si="3"/>
        <v>6</v>
      </c>
      <c r="V18" s="294" t="str">
        <f t="shared" si="1"/>
        <v>OK</v>
      </c>
    </row>
    <row r="19" spans="1:22" ht="12.75" customHeight="1" x14ac:dyDescent="0.2">
      <c r="A19" s="109" t="str">
        <f>'t1'!A17</f>
        <v>COADIUTORE AREA I TEMPO DET.ANNUALE</v>
      </c>
      <c r="B19" s="152" t="str">
        <f>'t1'!B17</f>
        <v>011124</v>
      </c>
      <c r="C19" s="293">
        <f>'t1'!K17</f>
        <v>1</v>
      </c>
      <c r="D19" s="293">
        <f>'t3'!K17</f>
        <v>0</v>
      </c>
      <c r="E19" s="294">
        <f>'t3'!M17</f>
        <v>0</v>
      </c>
      <c r="F19" s="294">
        <f>'t3'!O17</f>
        <v>0</v>
      </c>
      <c r="G19" s="294">
        <f>'t3'!C17</f>
        <v>0</v>
      </c>
      <c r="H19" s="294">
        <f>'t3'!E17</f>
        <v>0</v>
      </c>
      <c r="I19" s="294">
        <f>'t3'!G17</f>
        <v>0</v>
      </c>
      <c r="J19" s="294">
        <f>'t3'!I17</f>
        <v>0</v>
      </c>
      <c r="K19" s="294">
        <f t="shared" si="2"/>
        <v>1</v>
      </c>
      <c r="L19" s="294" t="str">
        <f t="shared" si="0"/>
        <v>OK</v>
      </c>
      <c r="M19" s="293">
        <f>'t1'!L17</f>
        <v>4</v>
      </c>
      <c r="N19" s="293">
        <f>'t3'!L17</f>
        <v>0</v>
      </c>
      <c r="O19" s="294">
        <f>'t3'!N17</f>
        <v>0</v>
      </c>
      <c r="P19" s="294">
        <f>'t3'!P17</f>
        <v>0</v>
      </c>
      <c r="Q19" s="294">
        <f>'t3'!D17</f>
        <v>0</v>
      </c>
      <c r="R19" s="294">
        <f>'t3'!F17</f>
        <v>0</v>
      </c>
      <c r="S19" s="294">
        <f>'t3'!H17</f>
        <v>0</v>
      </c>
      <c r="T19" s="294">
        <f>'t3'!J17</f>
        <v>0</v>
      </c>
      <c r="U19" s="294">
        <f t="shared" si="3"/>
        <v>4</v>
      </c>
      <c r="V19" s="294" t="str">
        <f t="shared" si="1"/>
        <v>OK</v>
      </c>
    </row>
    <row r="20" spans="1:22" ht="15.75" customHeight="1" x14ac:dyDescent="0.2">
      <c r="A20" s="109" t="str">
        <f>'t1'!A18</f>
        <v>TOTALE</v>
      </c>
      <c r="B20" s="144"/>
      <c r="C20" s="293">
        <f t="shared" ref="C20:J20" si="4">SUM(C8:C19)</f>
        <v>89</v>
      </c>
      <c r="D20" s="293">
        <f t="shared" si="4"/>
        <v>0</v>
      </c>
      <c r="E20" s="293">
        <f t="shared" si="4"/>
        <v>0</v>
      </c>
      <c r="F20" s="293">
        <f t="shared" si="4"/>
        <v>0</v>
      </c>
      <c r="G20" s="293">
        <f t="shared" si="4"/>
        <v>2</v>
      </c>
      <c r="H20" s="293">
        <f t="shared" si="4"/>
        <v>0</v>
      </c>
      <c r="I20" s="293">
        <f t="shared" si="4"/>
        <v>0</v>
      </c>
      <c r="J20" s="293">
        <f t="shared" si="4"/>
        <v>0</v>
      </c>
      <c r="K20" s="294">
        <f t="shared" si="2"/>
        <v>87</v>
      </c>
      <c r="L20" s="294" t="str">
        <f t="shared" si="0"/>
        <v>OK</v>
      </c>
      <c r="M20" s="293">
        <f t="shared" ref="M20:T20" si="5">SUM(M8:M19)</f>
        <v>62</v>
      </c>
      <c r="N20" s="293">
        <f t="shared" si="5"/>
        <v>0</v>
      </c>
      <c r="O20" s="293">
        <f t="shared" si="5"/>
        <v>0</v>
      </c>
      <c r="P20" s="293">
        <f t="shared" si="5"/>
        <v>0</v>
      </c>
      <c r="Q20" s="293">
        <f t="shared" si="5"/>
        <v>1</v>
      </c>
      <c r="R20" s="293">
        <f t="shared" si="5"/>
        <v>0</v>
      </c>
      <c r="S20" s="293">
        <f t="shared" si="5"/>
        <v>0</v>
      </c>
      <c r="T20" s="293">
        <f t="shared" si="5"/>
        <v>1</v>
      </c>
      <c r="U20" s="294">
        <f t="shared" si="3"/>
        <v>60</v>
      </c>
      <c r="V20" s="294" t="str">
        <f t="shared" si="1"/>
        <v>OK</v>
      </c>
    </row>
  </sheetData>
  <sheetProtection password="DD41" sheet="1" formatColumns="0" selectLockedCells="1" selectUnlockedCells="1"/>
  <mergeCells count="4">
    <mergeCell ref="M5:V5"/>
    <mergeCell ref="C5:L5"/>
    <mergeCell ref="A1:U1"/>
    <mergeCell ref="A2:K2"/>
  </mergeCells>
  <phoneticPr fontId="30" type="noConversion"/>
  <printOptions horizontalCentered="1" verticalCentered="1"/>
  <pageMargins left="0.19685039370078741" right="0" top="0.15748031496062992" bottom="0.15748031496062992" header="0.19685039370078741" footer="0.19685039370078741"/>
  <pageSetup paperSize="9" scale="80" orientation="landscape" horizontalDpi="300" verticalDpi="4294967292" r:id="rId1"/>
  <headerFooter alignWithMargins="0"/>
  <colBreaks count="1" manualBreakCount="1">
    <brk id="12"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5"/>
  <dimension ref="A1:M18"/>
  <sheetViews>
    <sheetView showGridLines="0" workbookViewId="0">
      <pane ySplit="5" topLeftCell="A6" activePane="bottomLeft" state="frozen"/>
      <selection activeCell="E11" sqref="E11"/>
      <selection pane="bottomLeft" activeCell="B5" sqref="B5"/>
    </sheetView>
  </sheetViews>
  <sheetFormatPr defaultColWidth="9.28515625" defaultRowHeight="10.199999999999999" x14ac:dyDescent="0.2"/>
  <cols>
    <col min="1" max="1" width="57.7109375" style="3" customWidth="1"/>
    <col min="2" max="2" width="11.7109375" style="2" customWidth="1"/>
    <col min="3" max="3" width="17" style="2" bestFit="1" customWidth="1"/>
    <col min="4" max="8" width="15.7109375" style="2" customWidth="1"/>
    <col min="9" max="9" width="14.7109375" style="2" customWidth="1"/>
    <col min="10" max="16384" width="9.28515625" style="3"/>
  </cols>
  <sheetData>
    <row r="1" spans="1:13" ht="43.5" customHeight="1" x14ac:dyDescent="0.2">
      <c r="A1" s="1097" t="str">
        <f>'t1'!A1</f>
        <v>AFAM - anno 2023</v>
      </c>
      <c r="B1" s="1097"/>
      <c r="C1" s="1097"/>
      <c r="D1" s="1097"/>
      <c r="E1" s="1097"/>
      <c r="F1" s="1097"/>
      <c r="G1" s="1097"/>
      <c r="H1" s="271"/>
      <c r="I1" s="268"/>
      <c r="M1"/>
    </row>
    <row r="2" spans="1:13" ht="12.75" customHeight="1" x14ac:dyDescent="0.2">
      <c r="B2" s="3"/>
      <c r="C2" s="3"/>
      <c r="D2" s="1207"/>
      <c r="E2" s="1207"/>
      <c r="F2" s="1207"/>
      <c r="G2" s="1207"/>
      <c r="H2" s="1207"/>
      <c r="I2" s="1207"/>
      <c r="J2" s="272"/>
      <c r="M2"/>
    </row>
    <row r="3" spans="1:13" ht="21" customHeight="1" x14ac:dyDescent="0.25">
      <c r="A3" s="161" t="s">
        <v>220</v>
      </c>
      <c r="C3" s="3"/>
      <c r="D3" s="3"/>
      <c r="E3" s="3"/>
      <c r="F3" s="3"/>
      <c r="G3" s="3"/>
      <c r="H3" s="3"/>
      <c r="I3" s="3"/>
    </row>
    <row r="4" spans="1:13" ht="49.5" customHeight="1" x14ac:dyDescent="0.2">
      <c r="A4" s="150" t="s">
        <v>159</v>
      </c>
      <c r="B4" s="150" t="s">
        <v>158</v>
      </c>
      <c r="C4" s="150" t="str">
        <f>"Presenti 31.12 anno precedente (Tab 1)"</f>
        <v>Presenti 31.12 anno precedente (Tab 1)</v>
      </c>
      <c r="D4" s="150" t="s">
        <v>180</v>
      </c>
      <c r="E4" s="150" t="s">
        <v>181</v>
      </c>
      <c r="F4" s="150" t="s">
        <v>182</v>
      </c>
      <c r="G4" s="150" t="s">
        <v>192</v>
      </c>
      <c r="H4" s="150" t="s">
        <v>183</v>
      </c>
      <c r="I4" s="150" t="s">
        <v>150</v>
      </c>
    </row>
    <row r="5" spans="1:13" x14ac:dyDescent="0.2">
      <c r="A5" s="150"/>
      <c r="B5" s="150"/>
      <c r="C5" s="159" t="s">
        <v>160</v>
      </c>
      <c r="D5" s="159" t="s">
        <v>161</v>
      </c>
      <c r="E5" s="159" t="s">
        <v>162</v>
      </c>
      <c r="F5" s="159" t="s">
        <v>163</v>
      </c>
      <c r="G5" s="159" t="s">
        <v>191</v>
      </c>
      <c r="H5" s="159" t="s">
        <v>184</v>
      </c>
      <c r="I5" s="159" t="s">
        <v>185</v>
      </c>
    </row>
    <row r="6" spans="1:13" ht="12.75" customHeight="1" x14ac:dyDescent="0.2">
      <c r="A6" s="109" t="str">
        <f>'t1'!A6</f>
        <v>PROFESSORI DI PRIMA FASCIA</v>
      </c>
      <c r="B6" s="152" t="str">
        <f>'t1'!B6</f>
        <v>018P01</v>
      </c>
      <c r="C6" s="293">
        <f>'t1'!C6+'t1'!D6</f>
        <v>93</v>
      </c>
      <c r="D6" s="293">
        <f>'t5'!U7+'t5'!V7</f>
        <v>9</v>
      </c>
      <c r="E6" s="294">
        <f>'t6'!U7+'t6'!V7</f>
        <v>5</v>
      </c>
      <c r="F6" s="294">
        <f>'t4'!C27</f>
        <v>0</v>
      </c>
      <c r="G6" s="294">
        <f>C6-D6+E6+F6</f>
        <v>89</v>
      </c>
      <c r="H6" s="294">
        <f>'t4'!O15</f>
        <v>0</v>
      </c>
      <c r="I6" s="88" t="str">
        <f>IF(H6&lt;=G6,"OK","ERRORE")</f>
        <v>OK</v>
      </c>
    </row>
    <row r="7" spans="1:13" ht="12.75" customHeight="1" x14ac:dyDescent="0.2">
      <c r="A7" s="109" t="str">
        <f>'t1'!A7</f>
        <v>DIRETTORE AMMINISTRATIVO EP2</v>
      </c>
      <c r="B7" s="152" t="str">
        <f>'t1'!B7</f>
        <v>013504</v>
      </c>
      <c r="C7" s="293">
        <f>'t1'!C7+'t1'!D7</f>
        <v>0</v>
      </c>
      <c r="D7" s="293">
        <f>'t5'!U8+'t5'!V8</f>
        <v>0</v>
      </c>
      <c r="E7" s="294">
        <f>'t6'!U8+'t6'!V8</f>
        <v>0</v>
      </c>
      <c r="F7" s="294">
        <f>'t4'!D27</f>
        <v>0</v>
      </c>
      <c r="G7" s="294">
        <f t="shared" ref="G7:G17" si="0">C7-D7+E7+F7</f>
        <v>0</v>
      </c>
      <c r="H7" s="294">
        <f>'t4'!O16</f>
        <v>0</v>
      </c>
      <c r="I7" s="88" t="str">
        <f t="shared" ref="I7:I17" si="1">IF(H7&lt;=G7,"OK","ERRORE")</f>
        <v>OK</v>
      </c>
    </row>
    <row r="8" spans="1:13" ht="12.75" customHeight="1" x14ac:dyDescent="0.2">
      <c r="A8" s="109" t="str">
        <f>'t1'!A8</f>
        <v>DIRETTORE DELL UFFICIO DI RAGIONERIA (EP1)</v>
      </c>
      <c r="B8" s="152" t="str">
        <f>'t1'!B8</f>
        <v>013159</v>
      </c>
      <c r="C8" s="293">
        <f>'t1'!C8+'t1'!D8</f>
        <v>0</v>
      </c>
      <c r="D8" s="293">
        <f>'t5'!U9+'t5'!V9</f>
        <v>0</v>
      </c>
      <c r="E8" s="294">
        <f>'t6'!U9+'t6'!V9</f>
        <v>0</v>
      </c>
      <c r="F8" s="294">
        <f>'t4'!E27</f>
        <v>0</v>
      </c>
      <c r="G8" s="294">
        <f t="shared" si="0"/>
        <v>0</v>
      </c>
      <c r="H8" s="294">
        <f>'t4'!O17</f>
        <v>0</v>
      </c>
      <c r="I8" s="88" t="str">
        <f t="shared" si="1"/>
        <v>OK</v>
      </c>
    </row>
    <row r="9" spans="1:13" ht="12.75" customHeight="1" x14ac:dyDescent="0.2">
      <c r="A9" s="109" t="str">
        <f>'t1'!A9</f>
        <v>COLLABORATORE AREA III</v>
      </c>
      <c r="B9" s="152" t="str">
        <f>'t1'!B9</f>
        <v>013CTE</v>
      </c>
      <c r="C9" s="293">
        <f>'t1'!C9+'t1'!D9</f>
        <v>1</v>
      </c>
      <c r="D9" s="293">
        <f>'t5'!U10+'t5'!V10</f>
        <v>0</v>
      </c>
      <c r="E9" s="294">
        <f>'t6'!U10+'t6'!V10</f>
        <v>0</v>
      </c>
      <c r="F9" s="294">
        <f>'t4'!F27</f>
        <v>0</v>
      </c>
      <c r="G9" s="294">
        <f t="shared" si="0"/>
        <v>1</v>
      </c>
      <c r="H9" s="294">
        <f>'t4'!O18</f>
        <v>0</v>
      </c>
      <c r="I9" s="88" t="str">
        <f t="shared" si="1"/>
        <v>OK</v>
      </c>
    </row>
    <row r="10" spans="1:13" ht="12.75" customHeight="1" x14ac:dyDescent="0.2">
      <c r="A10" s="109" t="str">
        <f>'t1'!A10</f>
        <v>ASSISTENTE AREA II</v>
      </c>
      <c r="B10" s="152" t="str">
        <f>'t1'!B10</f>
        <v>012117</v>
      </c>
      <c r="C10" s="293">
        <f>'t1'!C10+'t1'!D10</f>
        <v>12</v>
      </c>
      <c r="D10" s="293">
        <f>'t5'!U11+'t5'!V11</f>
        <v>0</v>
      </c>
      <c r="E10" s="294">
        <f>'t6'!U11+'t6'!V11</f>
        <v>1</v>
      </c>
      <c r="F10" s="294">
        <f>'t4'!G27</f>
        <v>0</v>
      </c>
      <c r="G10" s="294">
        <f t="shared" si="0"/>
        <v>13</v>
      </c>
      <c r="H10" s="294">
        <f>'t4'!O19</f>
        <v>0</v>
      </c>
      <c r="I10" s="88" t="str">
        <f t="shared" si="1"/>
        <v>OK</v>
      </c>
    </row>
    <row r="11" spans="1:13" ht="12.75" customHeight="1" x14ac:dyDescent="0.2">
      <c r="A11" s="109" t="str">
        <f>'t1'!A11</f>
        <v>COADIUTORE AREA I</v>
      </c>
      <c r="B11" s="152" t="str">
        <f>'t1'!B11</f>
        <v>011121</v>
      </c>
      <c r="C11" s="293">
        <f>'t1'!C11+'t1'!D11</f>
        <v>13</v>
      </c>
      <c r="D11" s="293">
        <f>'t5'!U12+'t5'!V12</f>
        <v>0</v>
      </c>
      <c r="E11" s="294">
        <f>'t6'!U12+'t6'!V12</f>
        <v>0</v>
      </c>
      <c r="F11" s="294">
        <f>'t4'!H27</f>
        <v>1</v>
      </c>
      <c r="G11" s="294">
        <f t="shared" si="0"/>
        <v>14</v>
      </c>
      <c r="H11" s="294">
        <f>'t4'!O20</f>
        <v>0</v>
      </c>
      <c r="I11" s="88" t="str">
        <f t="shared" si="1"/>
        <v>OK</v>
      </c>
    </row>
    <row r="12" spans="1:13" ht="12.75" customHeight="1" x14ac:dyDescent="0.2">
      <c r="A12" s="109" t="str">
        <f>'t1'!A12</f>
        <v>PROFESSORI DI PRIMA FASCIA TEMPO DET.ANNUALE</v>
      </c>
      <c r="B12" s="152" t="str">
        <f>'t1'!B12</f>
        <v>018PD1</v>
      </c>
      <c r="C12" s="293">
        <f>'t1'!C12+'t1'!D12</f>
        <v>8</v>
      </c>
      <c r="D12" s="293">
        <f>'t5'!U13+'t5'!V13</f>
        <v>0</v>
      </c>
      <c r="E12" s="294">
        <f>'t6'!U13+'t6'!V13</f>
        <v>0</v>
      </c>
      <c r="F12" s="294">
        <f>'t4'!I27</f>
        <v>0</v>
      </c>
      <c r="G12" s="294">
        <f t="shared" si="0"/>
        <v>8</v>
      </c>
      <c r="H12" s="294">
        <f>'t4'!O21</f>
        <v>0</v>
      </c>
      <c r="I12" s="88" t="str">
        <f t="shared" si="1"/>
        <v>OK</v>
      </c>
    </row>
    <row r="13" spans="1:13" ht="12.75" customHeight="1" x14ac:dyDescent="0.2">
      <c r="A13" s="109" t="str">
        <f>'t1'!A13</f>
        <v>DIRETTORE AMMINISTRATIVO TEMPO DET.ANNUALE (EP2)</v>
      </c>
      <c r="B13" s="152" t="str">
        <f>'t1'!B13</f>
        <v>013EP2</v>
      </c>
      <c r="C13" s="293">
        <f>'t1'!C13+'t1'!D13</f>
        <v>1</v>
      </c>
      <c r="D13" s="293">
        <f>'t5'!U14+'t5'!V14</f>
        <v>0</v>
      </c>
      <c r="E13" s="294">
        <f>'t6'!U14+'t6'!V14</f>
        <v>0</v>
      </c>
      <c r="F13" s="294">
        <f>'t4'!J27</f>
        <v>0</v>
      </c>
      <c r="G13" s="294">
        <f t="shared" si="0"/>
        <v>1</v>
      </c>
      <c r="H13" s="294">
        <f>'t4'!O22</f>
        <v>0</v>
      </c>
      <c r="I13" s="88" t="str">
        <f t="shared" si="1"/>
        <v>OK</v>
      </c>
    </row>
    <row r="14" spans="1:13" ht="12.75" customHeight="1" x14ac:dyDescent="0.2">
      <c r="A14" s="109" t="str">
        <f>'t1'!A14</f>
        <v>DIRETTORE DELL UFFICIO DI RAGIONERIA TEMPO DET.ANNUALE (EP1)</v>
      </c>
      <c r="B14" s="152" t="str">
        <f>'t1'!B14</f>
        <v>013160</v>
      </c>
      <c r="C14" s="293">
        <f>'t1'!C14+'t1'!D14</f>
        <v>0</v>
      </c>
      <c r="D14" s="293">
        <f>'t5'!U15+'t5'!V15</f>
        <v>0</v>
      </c>
      <c r="E14" s="294">
        <f>'t6'!U15+'t6'!V15</f>
        <v>0</v>
      </c>
      <c r="F14" s="294">
        <f>'t4'!K27</f>
        <v>0</v>
      </c>
      <c r="G14" s="294">
        <f t="shared" si="0"/>
        <v>0</v>
      </c>
      <c r="H14" s="294">
        <f>'t4'!O23</f>
        <v>0</v>
      </c>
      <c r="I14" s="88" t="str">
        <f t="shared" si="1"/>
        <v>OK</v>
      </c>
    </row>
    <row r="15" spans="1:13" ht="12.75" customHeight="1" x14ac:dyDescent="0.2">
      <c r="A15" s="109" t="str">
        <f>'t1'!A15</f>
        <v>COLLABORATORE AREA III TEMPO DET. ANNUALE</v>
      </c>
      <c r="B15" s="152" t="str">
        <f>'t1'!B15</f>
        <v>013CDE</v>
      </c>
      <c r="C15" s="293">
        <f>'t1'!C15+'t1'!D15</f>
        <v>0</v>
      </c>
      <c r="D15" s="293">
        <f>'t5'!U16+'t5'!V16</f>
        <v>0</v>
      </c>
      <c r="E15" s="294">
        <f>'t6'!U16+'t6'!V16</f>
        <v>0</v>
      </c>
      <c r="F15" s="294">
        <f>'t4'!L27</f>
        <v>0</v>
      </c>
      <c r="G15" s="294">
        <f t="shared" si="0"/>
        <v>0</v>
      </c>
      <c r="H15" s="294">
        <f>'t4'!O24</f>
        <v>0</v>
      </c>
      <c r="I15" s="88" t="str">
        <f t="shared" si="1"/>
        <v>OK</v>
      </c>
    </row>
    <row r="16" spans="1:13" ht="12.75" customHeight="1" x14ac:dyDescent="0.2">
      <c r="A16" s="109" t="str">
        <f>'t1'!A16</f>
        <v>ASSISTENTE AREA II TEMPO DET. ANNUALE</v>
      </c>
      <c r="B16" s="152" t="str">
        <f>'t1'!B16</f>
        <v>012118</v>
      </c>
      <c r="C16" s="293">
        <f>'t1'!C16+'t1'!D16</f>
        <v>3</v>
      </c>
      <c r="D16" s="293">
        <f>'t5'!U17+'t5'!V17</f>
        <v>0</v>
      </c>
      <c r="E16" s="294">
        <f>'t6'!U17+'t6'!V17</f>
        <v>0</v>
      </c>
      <c r="F16" s="294">
        <f>'t4'!M27</f>
        <v>0</v>
      </c>
      <c r="G16" s="294">
        <f t="shared" si="0"/>
        <v>3</v>
      </c>
      <c r="H16" s="294">
        <f>'t4'!O25</f>
        <v>0</v>
      </c>
      <c r="I16" s="88" t="str">
        <f t="shared" si="1"/>
        <v>OK</v>
      </c>
    </row>
    <row r="17" spans="1:9" ht="12.75" customHeight="1" x14ac:dyDescent="0.2">
      <c r="A17" s="109" t="str">
        <f>'t1'!A17</f>
        <v>COADIUTORE AREA I TEMPO DET.ANNUALE</v>
      </c>
      <c r="B17" s="152" t="str">
        <f>'t1'!B17</f>
        <v>011124</v>
      </c>
      <c r="C17" s="293">
        <f>'t1'!C17+'t1'!D17</f>
        <v>6</v>
      </c>
      <c r="D17" s="293">
        <f>'t5'!U18+'t5'!V18</f>
        <v>0</v>
      </c>
      <c r="E17" s="294">
        <f>'t6'!U18+'t6'!V18</f>
        <v>0</v>
      </c>
      <c r="F17" s="294">
        <f>'t4'!N27</f>
        <v>0</v>
      </c>
      <c r="G17" s="294">
        <f t="shared" si="0"/>
        <v>6</v>
      </c>
      <c r="H17" s="294">
        <f>'t4'!O26</f>
        <v>1</v>
      </c>
      <c r="I17" s="88" t="str">
        <f t="shared" si="1"/>
        <v>OK</v>
      </c>
    </row>
    <row r="18" spans="1:9" s="300" customFormat="1" ht="15.75" customHeight="1" x14ac:dyDescent="0.2">
      <c r="A18" s="582" t="str">
        <f>'t1'!A18</f>
        <v>TOTALE</v>
      </c>
      <c r="B18" s="171"/>
      <c r="C18" s="316">
        <f t="shared" ref="C18:H18" si="2">SUM(C6:C17)</f>
        <v>137</v>
      </c>
      <c r="D18" s="316">
        <f t="shared" si="2"/>
        <v>9</v>
      </c>
      <c r="E18" s="316">
        <f t="shared" si="2"/>
        <v>6</v>
      </c>
      <c r="F18" s="316">
        <f t="shared" si="2"/>
        <v>1</v>
      </c>
      <c r="G18" s="316">
        <f t="shared" si="2"/>
        <v>135</v>
      </c>
      <c r="H18" s="316">
        <f t="shared" si="2"/>
        <v>1</v>
      </c>
      <c r="I18" s="145" t="str">
        <f>IF(H18&lt;=G18,"OK","ERRORE")</f>
        <v>OK</v>
      </c>
    </row>
  </sheetData>
  <sheetProtection password="DD41" sheet="1" formatColumns="0" selectLockedCells="1" selectUnlockedCells="1"/>
  <mergeCells count="2">
    <mergeCell ref="D2:I2"/>
    <mergeCell ref="A1:G1"/>
  </mergeCells>
  <phoneticPr fontId="30" type="noConversion"/>
  <printOptions horizontalCentered="1" verticalCentered="1"/>
  <pageMargins left="0" right="0" top="0.15748031496062992" bottom="0.15748031496062992" header="0.19685039370078741" footer="0.19685039370078741"/>
  <pageSetup paperSize="9" scale="80" orientation="landscape" horizontalDpi="300" verticalDpi="4294967292"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37">
    <pageSetUpPr fitToPage="1"/>
  </sheetPr>
  <dimension ref="A1:D11"/>
  <sheetViews>
    <sheetView showGridLines="0" zoomScale="80" zoomScaleNormal="80" workbookViewId="0">
      <selection activeCell="G1" sqref="G1"/>
    </sheetView>
  </sheetViews>
  <sheetFormatPr defaultColWidth="9.28515625" defaultRowHeight="10.199999999999999" x14ac:dyDescent="0.2"/>
  <cols>
    <col min="1" max="1" width="3" style="3" customWidth="1"/>
    <col min="2" max="2" width="80.85546875" style="3" customWidth="1"/>
    <col min="3" max="4" width="23.7109375" style="2" customWidth="1"/>
    <col min="5" max="16384" width="9.28515625" style="3"/>
  </cols>
  <sheetData>
    <row r="1" spans="1:4" ht="43.5" customHeight="1" x14ac:dyDescent="0.2">
      <c r="A1" s="934" t="str">
        <f>'t1'!A1</f>
        <v>AFAM - anno 2023</v>
      </c>
      <c r="B1" s="934"/>
      <c r="C1" s="934"/>
      <c r="D1" s="934"/>
    </row>
    <row r="2" spans="1:4" ht="21" customHeight="1" x14ac:dyDescent="0.25">
      <c r="A2" s="161" t="s">
        <v>615</v>
      </c>
      <c r="B2" s="161"/>
    </row>
    <row r="3" spans="1:4" ht="21" customHeight="1" thickBot="1" x14ac:dyDescent="0.3">
      <c r="A3" s="161"/>
      <c r="B3" s="161"/>
    </row>
    <row r="4" spans="1:4" ht="70.349999999999994" customHeight="1" thickBot="1" x14ac:dyDescent="0.25">
      <c r="A4" s="813" t="s">
        <v>616</v>
      </c>
      <c r="B4" s="935"/>
      <c r="C4" s="1028" t="s">
        <v>607</v>
      </c>
      <c r="D4" s="941"/>
    </row>
    <row r="5" spans="1:4" ht="49.5" customHeight="1" x14ac:dyDescent="0.2"/>
    <row r="6" spans="1:4" ht="20.100000000000001" customHeight="1" x14ac:dyDescent="0.2"/>
    <row r="7" spans="1:4" ht="20.100000000000001" customHeight="1" x14ac:dyDescent="0.2"/>
    <row r="8" spans="1:4" ht="20.100000000000001" customHeight="1" x14ac:dyDescent="0.2"/>
    <row r="9" spans="1:4" ht="20.100000000000001" customHeight="1" x14ac:dyDescent="0.2"/>
    <row r="10" spans="1:4" ht="20.100000000000001" customHeight="1" x14ac:dyDescent="0.2"/>
    <row r="11" spans="1:4" ht="35.1" customHeight="1" x14ac:dyDescent="0.2"/>
  </sheetData>
  <sheetProtection algorithmName="SHA-512" hashValue="B+xTLaDcgeCluDNWmmZjegD3wyKp8D2z6/hneffToT8dL9xRUqZYDhBW3uMFF7UD1W+wNPx2j2CZdDCuft4FPg==" saltValue="R2zrd6inqOFvGXRWBqIZVA==" spinCount="100000" sheet="1" formatColumns="0" selectLockedCells="1"/>
  <printOptions horizontalCentered="1"/>
  <pageMargins left="0.39370078740157483" right="0.39370078740157483" top="0.78740157480314965" bottom="0.39370078740157483" header="0.19685039370078741" footer="0.19685039370078741"/>
  <pageSetup paperSize="9" orientation="landscape" horizontalDpi="300" verticalDpi="4294967292"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6"/>
  <dimension ref="A1:M21"/>
  <sheetViews>
    <sheetView showGridLines="0" workbookViewId="0">
      <selection activeCell="B2" sqref="B2"/>
    </sheetView>
  </sheetViews>
  <sheetFormatPr defaultColWidth="9.28515625" defaultRowHeight="10.199999999999999" x14ac:dyDescent="0.2"/>
  <cols>
    <col min="1" max="1" width="66.28515625" style="3" customWidth="1"/>
    <col min="2" max="3" width="19.7109375" style="3" customWidth="1"/>
    <col min="4" max="4" width="26.7109375" style="3" customWidth="1"/>
    <col min="5" max="5" width="25.140625" style="3" customWidth="1"/>
    <col min="6" max="16384" width="9.28515625" style="3"/>
  </cols>
  <sheetData>
    <row r="1" spans="1:13" ht="43.5" customHeight="1" x14ac:dyDescent="0.2">
      <c r="A1" s="1097" t="str">
        <f>'t1'!A1</f>
        <v>AFAM - anno 2023</v>
      </c>
      <c r="B1" s="1097"/>
      <c r="C1" s="1097"/>
      <c r="D1" s="1097"/>
      <c r="E1" s="268"/>
      <c r="F1" s="271"/>
      <c r="G1" s="271"/>
      <c r="H1" s="271"/>
      <c r="I1" s="271"/>
      <c r="M1"/>
    </row>
    <row r="2" spans="1:13" ht="16.2" thickBot="1" x14ac:dyDescent="0.35">
      <c r="A2" s="725" t="s">
        <v>526</v>
      </c>
      <c r="C2" s="1207"/>
      <c r="D2" s="1207"/>
      <c r="E2" s="1207"/>
      <c r="F2" s="272"/>
      <c r="G2" s="272"/>
      <c r="H2" s="272"/>
      <c r="I2" s="272"/>
      <c r="M2"/>
    </row>
    <row r="3" spans="1:13" ht="30" customHeight="1" thickBot="1" x14ac:dyDescent="0.3">
      <c r="A3" s="1214" t="s">
        <v>527</v>
      </c>
      <c r="B3" s="1215"/>
      <c r="C3" s="1215"/>
      <c r="D3" s="1215"/>
      <c r="E3" s="1216"/>
    </row>
    <row r="4" spans="1:13" s="162" customFormat="1" ht="30.6" x14ac:dyDescent="0.2">
      <c r="A4" s="542" t="s">
        <v>528</v>
      </c>
      <c r="B4" s="543" t="s">
        <v>529</v>
      </c>
      <c r="C4" s="543" t="s">
        <v>193</v>
      </c>
      <c r="D4" s="544" t="s">
        <v>194</v>
      </c>
      <c r="E4" s="545" t="s">
        <v>367</v>
      </c>
    </row>
    <row r="5" spans="1:13" ht="20.25" customHeight="1" x14ac:dyDescent="0.2">
      <c r="A5" s="165" t="s">
        <v>662</v>
      </c>
      <c r="B5" s="641">
        <f>SI_1!G56</f>
        <v>20</v>
      </c>
      <c r="C5" s="169">
        <f>'t14'!D12</f>
        <v>334211</v>
      </c>
      <c r="D5" s="172" t="str">
        <f>IF(B5=0,IF(C5=0,"OK","MANCANO LE UNITA'"),IF(C5=0,"MANCANO LE SPESE","OK"))</f>
        <v>OK</v>
      </c>
      <c r="E5" s="168">
        <f>IF(AND(B5&gt;0,C5&gt;0),C5/B5," ")</f>
        <v>16711</v>
      </c>
    </row>
    <row r="6" spans="1:13" ht="20.25" customHeight="1" x14ac:dyDescent="0.2">
      <c r="A6" s="165" t="s">
        <v>663</v>
      </c>
      <c r="B6" s="641">
        <f>SI_1!G59</f>
        <v>25</v>
      </c>
      <c r="C6" s="169">
        <f>'t14'!D13</f>
        <v>27572</v>
      </c>
      <c r="D6" s="172" t="str">
        <f>IF(B6=0,IF(C6=0,"OK","MANCANO LE UNITA'"),IF(C6=0,"MANCANO LE SPESE","OK"))</f>
        <v>OK</v>
      </c>
      <c r="E6" s="168">
        <f>IF(AND(B6&gt;0,C6&gt;0),C6/B6," ")</f>
        <v>1103</v>
      </c>
    </row>
    <row r="7" spans="1:13" ht="20.25" customHeight="1" thickBot="1" x14ac:dyDescent="0.25">
      <c r="A7" s="166" t="s">
        <v>2</v>
      </c>
      <c r="B7" s="642">
        <f>SI_1!G62</f>
        <v>3</v>
      </c>
      <c r="C7" s="170">
        <f>'t14'!D14</f>
        <v>12224</v>
      </c>
      <c r="D7" s="173" t="str">
        <f>IF(B7=0,IF(C7=0,"OK","MANCANO LE UNITA'"),IF(C7=0,"MANCANO LE SPESE","OK"))</f>
        <v>OK</v>
      </c>
      <c r="E7" s="426">
        <f>IF(AND(B7&gt;0,C7&gt;0),C7/B7," ")</f>
        <v>4075</v>
      </c>
    </row>
    <row r="10" spans="1:13" ht="18" thickBot="1" x14ac:dyDescent="0.35">
      <c r="A10" s="726" t="s">
        <v>530</v>
      </c>
    </row>
    <row r="11" spans="1:13" ht="30" customHeight="1" thickBot="1" x14ac:dyDescent="0.3">
      <c r="A11" s="1214" t="s">
        <v>531</v>
      </c>
      <c r="B11" s="1215"/>
      <c r="C11" s="1215"/>
      <c r="D11" s="1215"/>
      <c r="E11" s="1216"/>
    </row>
    <row r="12" spans="1:13" s="162" customFormat="1" ht="31.2" thickBot="1" x14ac:dyDescent="0.25">
      <c r="A12" s="542" t="s">
        <v>532</v>
      </c>
      <c r="B12" s="543" t="s">
        <v>533</v>
      </c>
      <c r="C12" s="543" t="s">
        <v>193</v>
      </c>
      <c r="D12" s="544" t="s">
        <v>194</v>
      </c>
      <c r="E12" s="545" t="s">
        <v>367</v>
      </c>
    </row>
    <row r="13" spans="1:13" ht="20.25" customHeight="1" x14ac:dyDescent="0.2">
      <c r="A13" s="423" t="s">
        <v>154</v>
      </c>
      <c r="B13" s="640">
        <f>'t2'!C9+'t2'!D9</f>
        <v>22</v>
      </c>
      <c r="C13" s="424">
        <f>'t14'!D16</f>
        <v>2580</v>
      </c>
      <c r="D13" s="425" t="str">
        <f>IF(B13=0,IF(C13=0,"OK","MANCANO LE UNITA'"),IF(C13=0,"MANCANO LE SPESE","OK"))</f>
        <v>OK</v>
      </c>
      <c r="E13" s="167">
        <f>IF(AND(B13&gt;0,C13&gt;0),C13/B13," ")</f>
        <v>117</v>
      </c>
    </row>
    <row r="14" spans="1:13" ht="20.25" customHeight="1" x14ac:dyDescent="0.2">
      <c r="A14" s="165" t="s">
        <v>155</v>
      </c>
      <c r="B14" s="641">
        <f>'t2'!E9+'t2'!F9</f>
        <v>0</v>
      </c>
      <c r="C14" s="169">
        <f>'t14'!D17</f>
        <v>0</v>
      </c>
      <c r="D14" s="172" t="str">
        <f>IF(B14=0,IF(C14=0,"OK","MANCANO LE UNITA'"),IF(C14=0,"MANCANO LE SPESE","OK"))</f>
        <v>OK</v>
      </c>
      <c r="E14" s="168" t="str">
        <f>IF(AND(B14&gt;0,C14&gt;0),C14/B14," ")</f>
        <v xml:space="preserve"> </v>
      </c>
    </row>
    <row r="15" spans="1:13" ht="20.25" customHeight="1" x14ac:dyDescent="0.2">
      <c r="A15" s="165" t="s">
        <v>41</v>
      </c>
      <c r="B15" s="641">
        <f>'t2'!G9+'t2'!H9</f>
        <v>0</v>
      </c>
      <c r="C15" s="169">
        <f>'t14'!D23</f>
        <v>0</v>
      </c>
      <c r="D15" s="172" t="str">
        <f>IF(B15=0,IF(C15=0,"OK","MANCANO LE UNITA'"),IF(C15=0,"MANCANO LE SPESE","OK"))</f>
        <v>OK</v>
      </c>
      <c r="E15" s="168" t="str">
        <f>IF(AND(B15&gt;0,C15&gt;0),C15/B15," ")</f>
        <v xml:space="preserve"> </v>
      </c>
    </row>
    <row r="16" spans="1:13" ht="20.25" customHeight="1" x14ac:dyDescent="0.2">
      <c r="A16" s="165" t="s">
        <v>156</v>
      </c>
      <c r="B16" s="641">
        <f>'t2'!I9+'t2'!J9</f>
        <v>0</v>
      </c>
      <c r="C16" s="169">
        <f>'t14'!D24</f>
        <v>0</v>
      </c>
      <c r="D16" s="172" t="str">
        <f>IF(B16=0,IF(C16=0,"OK","MANCANO LE UNITA'"),IF(C16=0,"MANCANO LE SPESE","OK"))</f>
        <v>OK</v>
      </c>
      <c r="E16" s="168" t="str">
        <f>IF(AND(B16&gt;0,C16&gt;0),C16/B16," ")</f>
        <v xml:space="preserve"> </v>
      </c>
    </row>
    <row r="17" spans="1:5" ht="13.95" customHeight="1" thickBot="1" x14ac:dyDescent="0.3">
      <c r="A17" s="727"/>
      <c r="B17" s="728"/>
      <c r="C17" s="728"/>
      <c r="D17" s="728"/>
      <c r="E17" s="729"/>
    </row>
    <row r="18" spans="1:5" s="162" customFormat="1" ht="30.6" x14ac:dyDescent="0.2">
      <c r="A18" s="428" t="s">
        <v>365</v>
      </c>
      <c r="B18" s="429" t="s">
        <v>366</v>
      </c>
      <c r="C18" s="429" t="s">
        <v>193</v>
      </c>
      <c r="D18" s="430" t="s">
        <v>369</v>
      </c>
      <c r="E18" s="561" t="s">
        <v>368</v>
      </c>
    </row>
    <row r="19" spans="1:5" ht="27.75" customHeight="1" x14ac:dyDescent="0.2">
      <c r="A19" s="541" t="str">
        <f>'t14'!A10</f>
        <v>SOMME CORRISPOSTE AD AGENZIA DI SOMMINISTRAZIONE(INTERINALI)</v>
      </c>
      <c r="B19" s="88" t="str">
        <f>'t14'!B10</f>
        <v>L105</v>
      </c>
      <c r="C19" s="575">
        <f>'t14'!D10</f>
        <v>0</v>
      </c>
      <c r="D19" s="562" t="str">
        <f>(IF(AND(C19=0,C20&gt;0),"INSERIRE SOMME SPETTANTI ALL'AGENZIA (L105)","OK"))</f>
        <v>OK</v>
      </c>
      <c r="E19" s="1217" t="str">
        <f>(IF(AND(C19&gt;0,C20&gt;0),C19/C20," "))</f>
        <v xml:space="preserve"> </v>
      </c>
    </row>
    <row r="20" spans="1:5" ht="27.75" customHeight="1" x14ac:dyDescent="0.2">
      <c r="A20" s="546" t="str">
        <f>'t14'!A23</f>
        <v>ONERI PER I CONTRATTI DI SOMMINISTRAZIONE(INTERINALI)</v>
      </c>
      <c r="B20" s="547" t="str">
        <f>'t14'!B23</f>
        <v>P062</v>
      </c>
      <c r="C20" s="576">
        <f>'t14'!D23</f>
        <v>0</v>
      </c>
      <c r="D20" s="563" t="str">
        <f>(IF(AND(C20=0,C19&gt;0),"INSERIRE RETRIBUZIONI PER INTERINALI (P062)","OK"))</f>
        <v>OK</v>
      </c>
      <c r="E20" s="1218"/>
    </row>
    <row r="21" spans="1:5" ht="40.5" customHeight="1" thickBot="1" x14ac:dyDescent="0.25">
      <c r="A21" s="1220" t="s">
        <v>378</v>
      </c>
      <c r="B21" s="1221"/>
      <c r="C21" s="1222"/>
      <c r="D21" s="564" t="str">
        <f>(IF(AND(C19&gt;0,C20&gt;0),IF(C19&gt;(C20/100*30),"ATTENZIONE: la voce L105 supera il 30% della voce P062. L'IN1 andrà giustificata","OK"),"OK"))</f>
        <v>OK</v>
      </c>
      <c r="E21" s="1219"/>
    </row>
  </sheetData>
  <sheetProtection algorithmName="SHA-512" hashValue="287sK2M+fvDQGQuWz8+6e3MP7FOGicdYLC4cpS1gNZGEKIz628n7YFCVCtsVARawUyGLMU9rAIvD7/wRnG5G/g==" saltValue="nIo//VUDjyqtbqKc+tZHRw==" spinCount="100000" sheet="1" formatColumns="0" selectLockedCells="1" selectUnlockedCells="1"/>
  <mergeCells count="6">
    <mergeCell ref="A3:E3"/>
    <mergeCell ref="A1:D1"/>
    <mergeCell ref="C2:E2"/>
    <mergeCell ref="E19:E21"/>
    <mergeCell ref="A21:C21"/>
    <mergeCell ref="A11:E11"/>
  </mergeCells>
  <phoneticPr fontId="30" type="noConversion"/>
  <conditionalFormatting sqref="D5:D7 D13:D16 D19:D21">
    <cfRule type="notContainsText" dxfId="17" priority="1" stopIfTrue="1" operator="notContains" text="ok">
      <formula>ISERROR(SEARCH("ok",D5))</formula>
    </cfRule>
  </conditionalFormatting>
  <printOptions horizontalCentered="1" verticalCentered="1"/>
  <pageMargins left="0" right="0" top="0.19685039370078741" bottom="0.31496062992125984" header="0.51181102362204722" footer="0.51181102362204722"/>
  <pageSetup paperSize="9" scale="90" orientation="landscape" horizontalDpi="300" verticalDpi="4294967292"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7"/>
  <dimension ref="A1:M17"/>
  <sheetViews>
    <sheetView showGridLines="0" workbookViewId="0">
      <pane ySplit="5" topLeftCell="A6" activePane="bottomLeft" state="frozen"/>
      <selection activeCell="E11" sqref="E11"/>
      <selection pane="bottomLeft" activeCell="A5" sqref="A5"/>
    </sheetView>
  </sheetViews>
  <sheetFormatPr defaultRowHeight="10.199999999999999" x14ac:dyDescent="0.2"/>
  <cols>
    <col min="1" max="1" width="57.7109375" style="3" customWidth="1"/>
    <col min="2" max="2" width="11.28515625" style="2" customWidth="1"/>
    <col min="3" max="3" width="13.140625" style="2" customWidth="1"/>
    <col min="4" max="4" width="17.7109375" style="2" customWidth="1"/>
    <col min="5" max="6" width="15.7109375" style="2" customWidth="1"/>
    <col min="7" max="8" width="15.7109375" style="91" customWidth="1"/>
    <col min="9" max="9" width="18.28515625" style="91" customWidth="1"/>
    <col min="10" max="10" width="9.28515625" style="91" customWidth="1"/>
  </cols>
  <sheetData>
    <row r="1" spans="1:13" s="3" customFormat="1" ht="43.5" customHeight="1" x14ac:dyDescent="0.2">
      <c r="A1" s="1097" t="str">
        <f>'t1'!A1</f>
        <v>AFAM - anno 2023</v>
      </c>
      <c r="B1" s="1097"/>
      <c r="C1" s="1097"/>
      <c r="D1" s="1097"/>
      <c r="E1" s="1097"/>
      <c r="F1" s="1097"/>
      <c r="G1" s="1097"/>
      <c r="H1" s="1097"/>
      <c r="I1" s="268"/>
      <c r="M1"/>
    </row>
    <row r="2" spans="1:13" s="3" customFormat="1" ht="12.75" customHeight="1" x14ac:dyDescent="0.2">
      <c r="D2" s="1207"/>
      <c r="E2" s="1207"/>
      <c r="F2" s="1207"/>
      <c r="G2" s="1207"/>
      <c r="H2" s="1207"/>
      <c r="I2" s="1207"/>
      <c r="J2" s="272"/>
      <c r="M2"/>
    </row>
    <row r="3" spans="1:13" s="3" customFormat="1" ht="21" customHeight="1" x14ac:dyDescent="0.25">
      <c r="A3" s="161" t="s">
        <v>221</v>
      </c>
      <c r="B3" s="2"/>
      <c r="F3" s="2"/>
    </row>
    <row r="4" spans="1:13" ht="51" x14ac:dyDescent="0.2">
      <c r="A4" s="149" t="s">
        <v>195</v>
      </c>
      <c r="B4" s="150" t="s">
        <v>158</v>
      </c>
      <c r="C4" s="150" t="s">
        <v>196</v>
      </c>
      <c r="D4" s="150" t="s">
        <v>200</v>
      </c>
      <c r="E4" s="150" t="s">
        <v>201</v>
      </c>
      <c r="F4" s="150" t="s">
        <v>202</v>
      </c>
      <c r="G4" s="150" t="s">
        <v>157</v>
      </c>
      <c r="H4" s="150" t="s">
        <v>203</v>
      </c>
      <c r="I4" s="150" t="s">
        <v>336</v>
      </c>
    </row>
    <row r="5" spans="1:13" s="164" customFormat="1" x14ac:dyDescent="0.2">
      <c r="A5" s="148"/>
      <c r="B5" s="159"/>
      <c r="C5" s="159" t="s">
        <v>160</v>
      </c>
      <c r="D5" s="159" t="s">
        <v>161</v>
      </c>
      <c r="E5" s="159" t="s">
        <v>197</v>
      </c>
      <c r="F5" s="159" t="s">
        <v>163</v>
      </c>
      <c r="G5" s="159" t="s">
        <v>198</v>
      </c>
      <c r="H5" s="159" t="s">
        <v>199</v>
      </c>
      <c r="I5" s="159" t="s">
        <v>337</v>
      </c>
      <c r="J5" s="163"/>
    </row>
    <row r="6" spans="1:13" ht="13.2" x14ac:dyDescent="0.25">
      <c r="A6" s="109" t="str">
        <f>'t1'!A6</f>
        <v>PROFESSORI DI PRIMA FASCIA</v>
      </c>
      <c r="B6" s="88" t="str">
        <f>'t1'!B6</f>
        <v>018P01</v>
      </c>
      <c r="C6" s="295">
        <f>'t12'!C6</f>
        <v>1103</v>
      </c>
      <c r="D6" s="296">
        <f>'t12'!D6</f>
        <v>2512579</v>
      </c>
      <c r="E6" s="297">
        <f>IF(C6=0," ",D6/C6*12)</f>
        <v>27335.4</v>
      </c>
      <c r="F6" s="1014">
        <v>27335.4</v>
      </c>
      <c r="G6" s="297">
        <f t="shared" ref="G6:G17" si="0">IF(E6=" "," ",E6-F6)</f>
        <v>0</v>
      </c>
      <c r="H6" s="298">
        <f t="shared" ref="H6:H17" si="1">IF(E6=" "," ",IF(F6=0," ",G6/F6))</f>
        <v>0</v>
      </c>
      <c r="I6" s="278" t="str">
        <f>IF(E6=" "," ",IF(F6=0," ",IF(ABS(H6)&gt;0.02,"ERRORE","OK")))</f>
        <v>OK</v>
      </c>
    </row>
    <row r="7" spans="1:13" ht="13.2" x14ac:dyDescent="0.25">
      <c r="A7" s="109" t="str">
        <f>'t1'!A7</f>
        <v>DIRETTORE AMMINISTRATIVO EP2</v>
      </c>
      <c r="B7" s="88" t="str">
        <f>'t1'!B7</f>
        <v>013504</v>
      </c>
      <c r="C7" s="295">
        <f>'t12'!C7</f>
        <v>0</v>
      </c>
      <c r="D7" s="296">
        <f>'t12'!D7</f>
        <v>0</v>
      </c>
      <c r="E7" s="297" t="str">
        <f t="shared" ref="E7:E17" si="2">IF(C7=0," ",D7/C7*12)</f>
        <v xml:space="preserve"> </v>
      </c>
      <c r="F7" s="1014">
        <v>27335.4</v>
      </c>
      <c r="G7" s="297" t="str">
        <f t="shared" si="0"/>
        <v xml:space="preserve"> </v>
      </c>
      <c r="H7" s="298" t="str">
        <f t="shared" si="1"/>
        <v xml:space="preserve"> </v>
      </c>
      <c r="I7" s="278" t="str">
        <f t="shared" ref="I7:I17" si="3">IF(E7=" "," ",IF(F7=0," ",IF(ABS(H7)&gt;0.02,"ERRORE","OK")))</f>
        <v xml:space="preserve"> </v>
      </c>
    </row>
    <row r="8" spans="1:13" ht="13.2" x14ac:dyDescent="0.25">
      <c r="A8" s="109" t="str">
        <f>'t1'!A8</f>
        <v>DIRETTORE DELL UFFICIO DI RAGIONERIA (EP1)</v>
      </c>
      <c r="B8" s="88" t="str">
        <f>'t1'!B8</f>
        <v>013159</v>
      </c>
      <c r="C8" s="295">
        <f>'t12'!C8</f>
        <v>0</v>
      </c>
      <c r="D8" s="296">
        <f>'t12'!D8</f>
        <v>0</v>
      </c>
      <c r="E8" s="297" t="str">
        <f t="shared" si="2"/>
        <v xml:space="preserve"> </v>
      </c>
      <c r="F8" s="1014">
        <v>24062.32</v>
      </c>
      <c r="G8" s="297" t="str">
        <f t="shared" si="0"/>
        <v xml:space="preserve"> </v>
      </c>
      <c r="H8" s="298" t="str">
        <f t="shared" si="1"/>
        <v xml:space="preserve"> </v>
      </c>
      <c r="I8" s="278" t="str">
        <f t="shared" si="3"/>
        <v xml:space="preserve"> </v>
      </c>
    </row>
    <row r="9" spans="1:13" ht="13.2" x14ac:dyDescent="0.25">
      <c r="A9" s="109" t="str">
        <f>'t1'!A9</f>
        <v>COLLABORATORE AREA III</v>
      </c>
      <c r="B9" s="88" t="str">
        <f>'t1'!B9</f>
        <v>013CTE</v>
      </c>
      <c r="C9" s="295">
        <f>'t12'!C9</f>
        <v>12</v>
      </c>
      <c r="D9" s="296">
        <f>'t12'!D9</f>
        <v>19655</v>
      </c>
      <c r="E9" s="297">
        <f t="shared" si="2"/>
        <v>19655</v>
      </c>
      <c r="F9" s="1014">
        <v>19655.11</v>
      </c>
      <c r="G9" s="297">
        <f t="shared" si="0"/>
        <v>-0.11</v>
      </c>
      <c r="H9" s="298">
        <f t="shared" si="1"/>
        <v>0</v>
      </c>
      <c r="I9" s="278" t="str">
        <f t="shared" si="3"/>
        <v>OK</v>
      </c>
    </row>
    <row r="10" spans="1:13" ht="13.2" x14ac:dyDescent="0.25">
      <c r="A10" s="109" t="str">
        <f>'t1'!A10</f>
        <v>ASSISTENTE AREA II</v>
      </c>
      <c r="B10" s="88" t="str">
        <f>'t1'!B10</f>
        <v>012117</v>
      </c>
      <c r="C10" s="295">
        <f>'t12'!C10</f>
        <v>140</v>
      </c>
      <c r="D10" s="296">
        <f>'t12'!D10</f>
        <v>214660</v>
      </c>
      <c r="E10" s="297">
        <f t="shared" si="2"/>
        <v>18399.43</v>
      </c>
      <c r="F10" s="1014">
        <v>18399.43</v>
      </c>
      <c r="G10" s="297">
        <f t="shared" si="0"/>
        <v>0</v>
      </c>
      <c r="H10" s="298">
        <f t="shared" si="1"/>
        <v>0</v>
      </c>
      <c r="I10" s="278" t="str">
        <f t="shared" si="3"/>
        <v>OK</v>
      </c>
    </row>
    <row r="11" spans="1:13" ht="13.2" x14ac:dyDescent="0.25">
      <c r="A11" s="109" t="str">
        <f>'t1'!A11</f>
        <v>COADIUTORE AREA I</v>
      </c>
      <c r="B11" s="88" t="str">
        <f>'t1'!B11</f>
        <v>011121</v>
      </c>
      <c r="C11" s="295">
        <f>'t12'!C11</f>
        <v>151</v>
      </c>
      <c r="D11" s="296">
        <f>'t12'!D11</f>
        <v>207716</v>
      </c>
      <c r="E11" s="297">
        <f t="shared" si="2"/>
        <v>16507.23</v>
      </c>
      <c r="F11" s="1014">
        <v>16507.23</v>
      </c>
      <c r="G11" s="297">
        <f t="shared" si="0"/>
        <v>0</v>
      </c>
      <c r="H11" s="298">
        <f t="shared" si="1"/>
        <v>0</v>
      </c>
      <c r="I11" s="278" t="str">
        <f t="shared" si="3"/>
        <v>OK</v>
      </c>
    </row>
    <row r="12" spans="1:13" ht="13.2" x14ac:dyDescent="0.25">
      <c r="A12" s="109" t="str">
        <f>'t1'!A12</f>
        <v>PROFESSORI DI PRIMA FASCIA TEMPO DET.ANNUALE</v>
      </c>
      <c r="B12" s="88" t="str">
        <f>'t1'!B12</f>
        <v>018PD1</v>
      </c>
      <c r="C12" s="295">
        <f>'t12'!C12</f>
        <v>160</v>
      </c>
      <c r="D12" s="296">
        <f>'t12'!D12</f>
        <v>361892</v>
      </c>
      <c r="E12" s="297">
        <f t="shared" si="2"/>
        <v>27141.9</v>
      </c>
      <c r="F12" s="1014">
        <v>27335.4</v>
      </c>
      <c r="G12" s="297">
        <f t="shared" si="0"/>
        <v>-193.5</v>
      </c>
      <c r="H12" s="298">
        <f t="shared" si="1"/>
        <v>-7.1000000000000004E-3</v>
      </c>
      <c r="I12" s="278" t="str">
        <f t="shared" si="3"/>
        <v>OK</v>
      </c>
    </row>
    <row r="13" spans="1:13" ht="13.2" x14ac:dyDescent="0.25">
      <c r="A13" s="109" t="str">
        <f>'t1'!A13</f>
        <v>DIRETTORE AMMINISTRATIVO TEMPO DET.ANNUALE (EP2)</v>
      </c>
      <c r="B13" s="88" t="str">
        <f>'t1'!B13</f>
        <v>013EP2</v>
      </c>
      <c r="C13" s="295">
        <f>'t12'!C13</f>
        <v>8</v>
      </c>
      <c r="D13" s="296">
        <f>'t12'!D13</f>
        <v>18224</v>
      </c>
      <c r="E13" s="297">
        <f t="shared" si="2"/>
        <v>27336</v>
      </c>
      <c r="F13" s="1014">
        <v>27335.4</v>
      </c>
      <c r="G13" s="297">
        <f t="shared" si="0"/>
        <v>0.6</v>
      </c>
      <c r="H13" s="298">
        <f t="shared" si="1"/>
        <v>0</v>
      </c>
      <c r="I13" s="278" t="str">
        <f t="shared" si="3"/>
        <v>OK</v>
      </c>
    </row>
    <row r="14" spans="1:13" ht="13.2" x14ac:dyDescent="0.25">
      <c r="A14" s="109" t="str">
        <f>'t1'!A14</f>
        <v>DIRETTORE DELL UFFICIO DI RAGIONERIA TEMPO DET.ANNUALE (EP1)</v>
      </c>
      <c r="B14" s="88" t="str">
        <f>'t1'!B14</f>
        <v>013160</v>
      </c>
      <c r="C14" s="295">
        <f>'t12'!C14</f>
        <v>2</v>
      </c>
      <c r="D14" s="296">
        <f>'t12'!D14</f>
        <v>4005</v>
      </c>
      <c r="E14" s="297">
        <f t="shared" si="2"/>
        <v>24030</v>
      </c>
      <c r="F14" s="1014">
        <v>24062.32</v>
      </c>
      <c r="G14" s="297">
        <f t="shared" si="0"/>
        <v>-32.32</v>
      </c>
      <c r="H14" s="298">
        <f t="shared" si="1"/>
        <v>-1.2999999999999999E-3</v>
      </c>
      <c r="I14" s="278" t="str">
        <f t="shared" si="3"/>
        <v>OK</v>
      </c>
    </row>
    <row r="15" spans="1:13" ht="13.2" x14ac:dyDescent="0.25">
      <c r="A15" s="109" t="str">
        <f>'t1'!A15</f>
        <v>COLLABORATORE AREA III TEMPO DET. ANNUALE</v>
      </c>
      <c r="B15" s="88" t="str">
        <f>'t1'!B15</f>
        <v>013CDE</v>
      </c>
      <c r="C15" s="295">
        <f>'t12'!C15</f>
        <v>0</v>
      </c>
      <c r="D15" s="296">
        <f>'t12'!D15</f>
        <v>0</v>
      </c>
      <c r="E15" s="297" t="str">
        <f t="shared" si="2"/>
        <v xml:space="preserve"> </v>
      </c>
      <c r="F15" s="1014">
        <v>19655.11</v>
      </c>
      <c r="G15" s="297" t="str">
        <f t="shared" si="0"/>
        <v xml:space="preserve"> </v>
      </c>
      <c r="H15" s="298" t="str">
        <f t="shared" si="1"/>
        <v xml:space="preserve"> </v>
      </c>
      <c r="I15" s="278" t="str">
        <f t="shared" si="3"/>
        <v xml:space="preserve"> </v>
      </c>
    </row>
    <row r="16" spans="1:13" ht="13.2" x14ac:dyDescent="0.25">
      <c r="A16" s="109" t="str">
        <f>'t1'!A16</f>
        <v>ASSISTENTE AREA II TEMPO DET. ANNUALE</v>
      </c>
      <c r="B16" s="88" t="str">
        <f>'t1'!B16</f>
        <v>012118</v>
      </c>
      <c r="C16" s="295">
        <f>'t12'!C16</f>
        <v>88</v>
      </c>
      <c r="D16" s="296">
        <f>'t12'!D16</f>
        <v>132503</v>
      </c>
      <c r="E16" s="297">
        <f t="shared" si="2"/>
        <v>18068.59</v>
      </c>
      <c r="F16" s="1014">
        <v>18399.43</v>
      </c>
      <c r="G16" s="297">
        <f t="shared" si="0"/>
        <v>-330.84</v>
      </c>
      <c r="H16" s="298">
        <f t="shared" si="1"/>
        <v>-1.7999999999999999E-2</v>
      </c>
      <c r="I16" s="278" t="str">
        <f t="shared" si="3"/>
        <v>OK</v>
      </c>
    </row>
    <row r="17" spans="1:9" ht="13.2" x14ac:dyDescent="0.25">
      <c r="A17" s="109" t="str">
        <f>'t1'!A17</f>
        <v>COADIUTORE AREA I TEMPO DET.ANNUALE</v>
      </c>
      <c r="B17" s="88" t="str">
        <f>'t1'!B17</f>
        <v>011124</v>
      </c>
      <c r="C17" s="295">
        <f>'t12'!C17</f>
        <v>90</v>
      </c>
      <c r="D17" s="296">
        <f>'t12'!D17</f>
        <v>125277</v>
      </c>
      <c r="E17" s="297">
        <f t="shared" si="2"/>
        <v>16703.599999999999</v>
      </c>
      <c r="F17" s="1014">
        <v>16507.23</v>
      </c>
      <c r="G17" s="297">
        <f t="shared" si="0"/>
        <v>196.37</v>
      </c>
      <c r="H17" s="298">
        <f t="shared" si="1"/>
        <v>1.1900000000000001E-2</v>
      </c>
      <c r="I17" s="278" t="str">
        <f t="shared" si="3"/>
        <v>OK</v>
      </c>
    </row>
  </sheetData>
  <sheetProtection algorithmName="SHA-512" hashValue="jJgwXVZ104xI2BsYiX7EqrJ0ID8jDUCrZ1i0VteKMwFKPpU0QjvTsPm6quFLMvnXUQ1Z5qmz3LdHVdmfIum7dA==" saltValue="39NOnLPST1hxuSdozjRQpw==" spinCount="100000" sheet="1" formatColumns="0" selectLockedCells="1" selectUnlockedCells="1"/>
  <mergeCells count="2">
    <mergeCell ref="A1:H1"/>
    <mergeCell ref="D2:I2"/>
  </mergeCells>
  <phoneticPr fontId="30" type="noConversion"/>
  <printOptions horizontalCentered="1" verticalCentered="1"/>
  <pageMargins left="0.19685039370078741" right="0.19685039370078741" top="0.19685039370078741" bottom="0.15748031496062992" header="0.15748031496062992" footer="0.15748031496062992"/>
  <pageSetup paperSize="9" scale="90" orientation="landscape" horizontalDpi="0" verticalDpi="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D5"/>
  <sheetViews>
    <sheetView showGridLines="0" zoomScale="80" zoomScaleNormal="80" workbookViewId="0">
      <pane ySplit="5" topLeftCell="A6" activePane="bottomLeft" state="frozen"/>
      <selection pane="bottomLeft" activeCell="H1" sqref="H1"/>
    </sheetView>
  </sheetViews>
  <sheetFormatPr defaultColWidth="8.7109375" defaultRowHeight="10.199999999999999" x14ac:dyDescent="0.2"/>
  <cols>
    <col min="1" max="1" width="3" style="3" customWidth="1"/>
    <col min="2" max="2" width="8.42578125" style="3" customWidth="1"/>
    <col min="3" max="3" width="80.85546875" style="3" customWidth="1"/>
    <col min="4" max="4" width="45.7109375" style="2" customWidth="1"/>
    <col min="5" max="12" width="8.7109375" style="3"/>
    <col min="13" max="15" width="8.7109375" style="3" customWidth="1"/>
    <col min="16" max="16384" width="8.7109375" style="3"/>
  </cols>
  <sheetData>
    <row r="1" spans="1:4" ht="43.5" customHeight="1" x14ac:dyDescent="0.2">
      <c r="A1" s="934" t="str">
        <f>'t1'!A1</f>
        <v>AFAM - anno 2023</v>
      </c>
      <c r="B1" s="934"/>
      <c r="C1" s="934"/>
      <c r="D1" s="934"/>
    </row>
    <row r="2" spans="1:4" ht="21" customHeight="1" x14ac:dyDescent="0.25">
      <c r="A2" s="161" t="s">
        <v>639</v>
      </c>
      <c r="B2" s="161"/>
      <c r="C2" s="161"/>
    </row>
    <row r="3" spans="1:4" ht="21" customHeight="1" thickBot="1" x14ac:dyDescent="0.3">
      <c r="A3" s="936"/>
      <c r="B3" s="161"/>
      <c r="C3" s="161"/>
    </row>
    <row r="4" spans="1:4" ht="49.5" customHeight="1" thickBot="1" x14ac:dyDescent="0.25">
      <c r="A4" s="811" t="s">
        <v>555</v>
      </c>
      <c r="B4" s="812"/>
      <c r="C4" s="812"/>
      <c r="D4" s="810" t="s">
        <v>622</v>
      </c>
    </row>
    <row r="5" spans="1:4" ht="69.900000000000006" customHeight="1" thickBot="1" x14ac:dyDescent="0.25">
      <c r="A5" s="813" t="s">
        <v>634</v>
      </c>
      <c r="B5" s="812"/>
      <c r="C5" s="812"/>
      <c r="D5" s="942" t="s">
        <v>607</v>
      </c>
    </row>
  </sheetData>
  <sheetProtection algorithmName="SHA-512" hashValue="bL5uCltFWqejmUtM3NIVFMYRndWsUbQbaH2ZinXXpJVz1iiq4P3M5wvoTS5UNU8OuYrIg9+docQVeYZHMm3WmQ==" saltValue="Xl+t4yUsZ1tAvgXH9i19Kg==" spinCount="100000" sheet="1" formatColumns="0" selectLockedCells="1"/>
  <conditionalFormatting sqref="D13">
    <cfRule type="cellIs" dxfId="16" priority="8" stopIfTrue="1" operator="greaterThan">
      <formula>49.9</formula>
    </cfRule>
    <cfRule type="cellIs" dxfId="15" priority="9" stopIfTrue="1" operator="greaterThan">
      <formula>99.99</formula>
    </cfRule>
    <cfRule type="cellIs" dxfId="14" priority="10" stopIfTrue="1" operator="greaterThan">
      <formula>100</formula>
    </cfRule>
    <cfRule type="cellIs" dxfId="13" priority="11" stopIfTrue="1" operator="greaterThan">
      <formula>49.99</formula>
    </cfRule>
    <cfRule type="cellIs" dxfId="12" priority="12" stopIfTrue="1" operator="greaterThan">
      <formula>99.9</formula>
    </cfRule>
    <cfRule type="cellIs" dxfId="11" priority="13" stopIfTrue="1" operator="greaterThan">
      <formula>100</formula>
    </cfRule>
    <cfRule type="cellIs" dxfId="10" priority="14" stopIfTrue="1" operator="greaterThan">
      <formula>100</formula>
    </cfRule>
  </conditionalFormatting>
  <conditionalFormatting sqref="D22">
    <cfRule type="cellIs" dxfId="9" priority="1" stopIfTrue="1" operator="greaterThan">
      <formula>49.9</formula>
    </cfRule>
    <cfRule type="cellIs" dxfId="8" priority="2" stopIfTrue="1" operator="greaterThan">
      <formula>99.99</formula>
    </cfRule>
    <cfRule type="cellIs" dxfId="7" priority="3" stopIfTrue="1" operator="greaterThan">
      <formula>100</formula>
    </cfRule>
    <cfRule type="cellIs" dxfId="6" priority="4" stopIfTrue="1" operator="greaterThan">
      <formula>49.99</formula>
    </cfRule>
    <cfRule type="cellIs" dxfId="5" priority="5" stopIfTrue="1" operator="greaterThan">
      <formula>99.9</formula>
    </cfRule>
    <cfRule type="cellIs" dxfId="4" priority="6" stopIfTrue="1" operator="greaterThan">
      <formula>100</formula>
    </cfRule>
    <cfRule type="cellIs" dxfId="3" priority="7" stopIfTrue="1" operator="greaterThan">
      <formula>100</formula>
    </cfRule>
  </conditionalFormatting>
  <printOptions horizontalCentered="1"/>
  <pageMargins left="0.19685039370078741" right="0.19685039370078741" top="0.19685039370078741" bottom="0.15748031496062992" header="0.15748031496062992" footer="0.1574803149606299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7">
    <pageSetUpPr fitToPage="1"/>
  </sheetPr>
  <dimension ref="A1:N31"/>
  <sheetViews>
    <sheetView showGridLines="0" zoomScale="90" workbookViewId="0">
      <pane ySplit="5" topLeftCell="A15" activePane="bottomLeft" state="frozen"/>
      <selection activeCell="E11" sqref="E11"/>
      <selection pane="bottomLeft" activeCell="B2" sqref="B2:G2"/>
    </sheetView>
  </sheetViews>
  <sheetFormatPr defaultRowHeight="10.199999999999999" x14ac:dyDescent="0.2"/>
  <cols>
    <col min="1" max="1" width="71.28515625" style="353" customWidth="1"/>
    <col min="2" max="2" width="8" style="353" customWidth="1"/>
    <col min="3" max="3" width="14.140625" style="353" customWidth="1"/>
    <col min="4" max="4" width="15.28515625" style="353" customWidth="1"/>
    <col min="5" max="5" width="25" style="353" bestFit="1" customWidth="1"/>
    <col min="6" max="6" width="17.28515625" style="353" customWidth="1"/>
    <col min="7" max="7" width="17.140625" style="353" customWidth="1"/>
    <col min="8" max="14" width="9.28515625" style="353" customWidth="1"/>
  </cols>
  <sheetData>
    <row r="1" spans="1:14" s="3" customFormat="1" ht="26.25" customHeight="1" x14ac:dyDescent="0.2">
      <c r="A1" s="1097" t="str">
        <f>'t1'!A1:J1</f>
        <v>AFAM - anno 2023</v>
      </c>
      <c r="B1" s="1097"/>
      <c r="C1" s="1097"/>
      <c r="D1" s="1097"/>
      <c r="E1" s="1097"/>
      <c r="F1" s="271"/>
      <c r="G1" s="268"/>
      <c r="H1" s="271"/>
      <c r="M1" s="352"/>
    </row>
    <row r="2" spans="1:14" s="3" customFormat="1" ht="15" customHeight="1" x14ac:dyDescent="0.2">
      <c r="B2" s="1207"/>
      <c r="C2" s="1207"/>
      <c r="D2" s="1207"/>
      <c r="E2" s="1207"/>
      <c r="F2" s="1207"/>
      <c r="G2" s="1207"/>
      <c r="J2" s="272"/>
      <c r="M2" s="352"/>
    </row>
    <row r="3" spans="1:14" s="3" customFormat="1" ht="21" customHeight="1" thickBot="1" x14ac:dyDescent="0.3">
      <c r="A3" s="274" t="s">
        <v>222</v>
      </c>
      <c r="B3" s="2"/>
    </row>
    <row r="4" spans="1:14" ht="20.25" customHeight="1" thickBot="1" x14ac:dyDescent="0.35">
      <c r="A4" s="282" t="s">
        <v>223</v>
      </c>
      <c r="B4" s="1223">
        <f>'t12'!J18+'t13'!U18</f>
        <v>5761653</v>
      </c>
      <c r="C4" s="1224"/>
      <c r="D4" s="1224"/>
      <c r="E4" s="1224"/>
      <c r="F4" s="1224"/>
      <c r="G4" s="1225"/>
    </row>
    <row r="5" spans="1:14" ht="85.5" customHeight="1" thickBot="1" x14ac:dyDescent="0.25">
      <c r="A5" s="184" t="s">
        <v>88</v>
      </c>
      <c r="B5" s="185" t="s">
        <v>208</v>
      </c>
      <c r="C5" s="185" t="s">
        <v>209</v>
      </c>
      <c r="D5" s="186" t="s">
        <v>210</v>
      </c>
      <c r="E5" s="1226" t="s">
        <v>206</v>
      </c>
      <c r="F5" s="1227"/>
      <c r="G5" s="1228"/>
      <c r="H5" s="352"/>
      <c r="I5" s="352"/>
      <c r="J5" s="352"/>
      <c r="K5" s="352"/>
      <c r="L5" s="352"/>
      <c r="M5" s="352"/>
      <c r="N5" s="352"/>
    </row>
    <row r="6" spans="1:14" ht="19.5" customHeight="1" x14ac:dyDescent="0.2">
      <c r="A6" s="183" t="str">
        <f>'t14'!A4</f>
        <v>ASSEGNI PER IL NUCLEO FAMILIARE</v>
      </c>
      <c r="B6" s="279" t="str">
        <f>'t14'!B4</f>
        <v>L005</v>
      </c>
      <c r="C6" s="275">
        <f>'t14'!D4</f>
        <v>0</v>
      </c>
      <c r="D6" s="354" t="str">
        <f t="shared" ref="D6:D12" si="0">IF($B$4=0," ",(IF(C6=0," ",C6/$B$4)))</f>
        <v xml:space="preserve"> </v>
      </c>
      <c r="E6" s="1235" t="str">
        <f>IF($B$4=0,"TABELLE 12 -13 ASSENTI",(IF('t12'!$J$18=0,"TAB. 12 ASSENTE",(IF('t13'!U18=0,"TAB. 13 ASSENTE"," ")))))</f>
        <v xml:space="preserve"> </v>
      </c>
      <c r="F6" s="1236"/>
      <c r="G6" s="1237"/>
      <c r="H6" s="352"/>
      <c r="I6" s="352"/>
      <c r="J6" s="352"/>
      <c r="K6" s="352"/>
      <c r="L6" s="352"/>
      <c r="M6" s="352"/>
      <c r="N6" s="352"/>
    </row>
    <row r="7" spans="1:14" ht="19.5" customHeight="1" x14ac:dyDescent="0.2">
      <c r="A7" s="183" t="str">
        <f>'t14'!A5</f>
        <v xml:space="preserve">GESTIONE MENSE </v>
      </c>
      <c r="B7" s="279" t="str">
        <f>'t14'!B5</f>
        <v>L010</v>
      </c>
      <c r="C7" s="276">
        <f>'t14'!D5</f>
        <v>0</v>
      </c>
      <c r="D7" s="355" t="str">
        <f t="shared" si="0"/>
        <v xml:space="preserve"> </v>
      </c>
      <c r="E7" s="1229"/>
      <c r="F7" s="1230"/>
      <c r="G7" s="1231"/>
      <c r="H7" s="352"/>
      <c r="I7" s="352"/>
      <c r="J7" s="352"/>
      <c r="K7" s="352"/>
      <c r="L7" s="352"/>
      <c r="M7" s="352"/>
      <c r="N7" s="352"/>
    </row>
    <row r="8" spans="1:14" ht="19.5" customHeight="1" x14ac:dyDescent="0.2">
      <c r="A8" s="183" t="str">
        <f>'t14'!A6</f>
        <v>EROGAZIONE BUONI PASTO</v>
      </c>
      <c r="B8" s="279" t="str">
        <f>'t14'!B6</f>
        <v>L011</v>
      </c>
      <c r="C8" s="276">
        <f>'t14'!D6</f>
        <v>0</v>
      </c>
      <c r="D8" s="355" t="str">
        <f t="shared" si="0"/>
        <v xml:space="preserve"> </v>
      </c>
      <c r="E8" s="1229"/>
      <c r="F8" s="1230"/>
      <c r="G8" s="1231"/>
      <c r="H8" s="352"/>
      <c r="I8" s="352"/>
      <c r="J8" s="352"/>
      <c r="K8" s="352"/>
      <c r="L8" s="352"/>
      <c r="M8" s="352"/>
      <c r="N8" s="352"/>
    </row>
    <row r="9" spans="1:14" ht="19.5" customHeight="1" x14ac:dyDescent="0.2">
      <c r="A9" s="183" t="str">
        <f>'t14'!A7</f>
        <v>FORMAZIONE DEL PERSONALE</v>
      </c>
      <c r="B9" s="279" t="str">
        <f>'t14'!B7</f>
        <v>L020</v>
      </c>
      <c r="C9" s="276">
        <f>'t14'!D7</f>
        <v>6870</v>
      </c>
      <c r="D9" s="355">
        <f t="shared" si="0"/>
        <v>1.1999999999999999E-3</v>
      </c>
      <c r="E9" s="1229"/>
      <c r="F9" s="1230"/>
      <c r="G9" s="1231"/>
      <c r="H9" s="352"/>
      <c r="I9" s="352"/>
      <c r="J9" s="352"/>
      <c r="K9" s="352"/>
      <c r="L9" s="352"/>
      <c r="M9" s="352"/>
      <c r="N9" s="352"/>
    </row>
    <row r="10" spans="1:14" ht="19.5" customHeight="1" x14ac:dyDescent="0.2">
      <c r="A10" s="183" t="str">
        <f>'t14'!A8</f>
        <v>BENESSERE DEL PERSONALE</v>
      </c>
      <c r="B10" s="279" t="str">
        <f>'t14'!B8</f>
        <v>L090</v>
      </c>
      <c r="C10" s="276">
        <f>'t14'!D8</f>
        <v>0</v>
      </c>
      <c r="D10" s="355" t="str">
        <f t="shared" si="0"/>
        <v xml:space="preserve"> </v>
      </c>
      <c r="E10" s="1229"/>
      <c r="F10" s="1230"/>
      <c r="G10" s="1231"/>
      <c r="H10" s="352"/>
      <c r="I10" s="352"/>
      <c r="J10" s="352"/>
      <c r="K10" s="352"/>
      <c r="L10" s="352"/>
      <c r="M10" s="352"/>
      <c r="N10" s="352"/>
    </row>
    <row r="11" spans="1:14" ht="19.5" customHeight="1" thickBot="1" x14ac:dyDescent="0.25">
      <c r="A11" s="183" t="str">
        <f>'t14'!A9</f>
        <v>EQUO INDENNIZZO AL PERSONALE</v>
      </c>
      <c r="B11" s="279" t="str">
        <f>'t14'!B9</f>
        <v>L100</v>
      </c>
      <c r="C11" s="276">
        <f>'t14'!D9</f>
        <v>0</v>
      </c>
      <c r="D11" s="356" t="str">
        <f t="shared" si="0"/>
        <v xml:space="preserve"> </v>
      </c>
      <c r="E11" s="1232"/>
      <c r="F11" s="1233"/>
      <c r="G11" s="1234"/>
      <c r="H11" s="352"/>
      <c r="I11" s="352"/>
      <c r="J11" s="352"/>
      <c r="K11" s="352"/>
      <c r="L11" s="352"/>
      <c r="M11" s="352"/>
      <c r="N11" s="352"/>
    </row>
    <row r="12" spans="1:14" ht="30.75" customHeight="1" thickBot="1" x14ac:dyDescent="0.25">
      <c r="A12" s="183" t="str">
        <f>'t14'!A10</f>
        <v>SOMME CORRISPOSTE AD AGENZIA DI SOMMINISTRAZIONE(INTERINALI)</v>
      </c>
      <c r="B12" s="279" t="str">
        <f>'t14'!B10</f>
        <v>L105</v>
      </c>
      <c r="C12" s="276">
        <f>'t14'!D10</f>
        <v>0</v>
      </c>
      <c r="D12" s="356" t="str">
        <f t="shared" si="0"/>
        <v xml:space="preserve"> </v>
      </c>
      <c r="E12" s="1238" t="str">
        <f>(IF(AND(C12=0,C24&gt;0),"P062 VALORIZZATA; INSERIRE SOMME SPETTANTI ALL'AGENZIA (L105)",IF(AND(C12&gt;0,C24&gt;0,C12&gt;(C24/100*30)),"ATTENZIONE: la voce L105 supera il 30% della voce P062. Il salvataggio produrrà l'INCONGRUENZA 1 che dovrà essere giustificata"," ")))</f>
        <v xml:space="preserve"> </v>
      </c>
      <c r="F12" s="1239"/>
      <c r="G12" s="1240"/>
      <c r="H12" s="352"/>
      <c r="I12" s="352"/>
      <c r="J12" s="352"/>
      <c r="K12" s="352"/>
      <c r="L12" s="352"/>
      <c r="M12" s="352"/>
      <c r="N12" s="352"/>
    </row>
    <row r="13" spans="1:14" ht="19.5" customHeight="1" thickBot="1" x14ac:dyDescent="0.25">
      <c r="A13" s="183" t="str">
        <f>'t14'!A11</f>
        <v>COPERTURE ASSICURATIVE</v>
      </c>
      <c r="B13" s="279" t="str">
        <f>'t14'!B11</f>
        <v>L107</v>
      </c>
      <c r="C13" s="276">
        <f>'t14'!D11</f>
        <v>10242</v>
      </c>
      <c r="D13" s="354">
        <f t="shared" ref="D13:D21" si="1">IF($B$4=0," ",(IF(C13=0," ",C13/$B$4)))</f>
        <v>1.8E-3</v>
      </c>
      <c r="E13" s="1243" t="str">
        <f>IF($B$4=0,"TABELLE 12 -13 ASSENTI",(IF('t12'!$J$18=0,"TAB. 12 ASSENTE",(IF('t13'!$U$18=0,"TAB. 13 ASSENTE"," ")))))</f>
        <v xml:space="preserve"> </v>
      </c>
      <c r="F13" s="1244" t="s">
        <v>250</v>
      </c>
      <c r="G13" s="1245" t="s">
        <v>250</v>
      </c>
      <c r="H13" s="352"/>
      <c r="I13" s="352"/>
      <c r="J13" s="352"/>
      <c r="K13" s="352"/>
      <c r="L13" s="352"/>
      <c r="M13" s="352"/>
      <c r="N13" s="352"/>
    </row>
    <row r="14" spans="1:14" ht="41.25" customHeight="1" thickBot="1" x14ac:dyDescent="0.25">
      <c r="A14" s="183" t="str">
        <f>'t14'!A12</f>
        <v>CONTRATTI DI COLLABORAZIONE PROFESSIONALE</v>
      </c>
      <c r="B14" s="279" t="str">
        <f>'t14'!B12</f>
        <v>L111</v>
      </c>
      <c r="C14" s="276">
        <f>'t14'!D12</f>
        <v>334211</v>
      </c>
      <c r="D14" s="355">
        <f t="shared" si="1"/>
        <v>5.8000000000000003E-2</v>
      </c>
      <c r="E14" s="1238" t="str">
        <f>IF(SI_1!G56=0,IF('t14'!D12=0," ","MANCA IL NUMERO DEI CONTRATTI NELLA SI_1"),IF('t14'!D12=0,"VERIFICARE SE INSERIRE LE SPESE"," "))</f>
        <v xml:space="preserve"> </v>
      </c>
      <c r="F14" s="1244"/>
      <c r="G14" s="299" t="str">
        <f>IF(AND(C14&gt;0,SI_1!G56&gt;0),"VALORE MEDIO UNITARIO DI SPESA =  "&amp;C14/SI_1!G56," ")</f>
        <v>VALORE MEDIO UNITARIO DI SPESA =  16710,55</v>
      </c>
      <c r="H14" s="352"/>
      <c r="I14" s="352"/>
      <c r="J14" s="352"/>
      <c r="K14" s="352"/>
      <c r="L14" s="352"/>
      <c r="M14" s="352"/>
      <c r="N14" s="352"/>
    </row>
    <row r="15" spans="1:14" ht="41.25" customHeight="1" thickBot="1" x14ac:dyDescent="0.25">
      <c r="A15" s="183" t="str">
        <f>'t14'!A13</f>
        <v>INCARICHI DI STUDIO/RICERCA/CONSULENZA</v>
      </c>
      <c r="B15" s="279" t="str">
        <f>'t14'!B13</f>
        <v>L112</v>
      </c>
      <c r="C15" s="276">
        <f>'t14'!D13</f>
        <v>27572</v>
      </c>
      <c r="D15" s="355">
        <f t="shared" si="1"/>
        <v>4.7999999999999996E-3</v>
      </c>
      <c r="E15" s="1238" t="str">
        <f>IF(SI_1!G59=0,IF('t14'!D13=0," ","MANCA IL NUMERO DEI CONTRATTI NELLA SI_1"),IF('t14'!D13=0,"VERIFICARE SE INSERIRE LE SPESE"," "))</f>
        <v xml:space="preserve"> </v>
      </c>
      <c r="F15" s="1244"/>
      <c r="G15" s="299" t="str">
        <f>IF(AND(C15&gt;0,SI_1!G59&gt;0),"VALORE MEDIO UNITARIO DI SPESA =  "&amp;C15/SI_1!G59," ")</f>
        <v>VALORE MEDIO UNITARIO DI SPESA =  1102,88</v>
      </c>
      <c r="H15" s="352"/>
      <c r="I15" s="352"/>
      <c r="J15" s="352"/>
      <c r="K15" s="352"/>
      <c r="L15" s="352"/>
      <c r="M15" s="352"/>
      <c r="N15" s="352"/>
    </row>
    <row r="16" spans="1:14" ht="41.25" customHeight="1" thickBot="1" x14ac:dyDescent="0.25">
      <c r="A16" s="183" t="str">
        <f>'t14'!A14</f>
        <v>CONTRATTI PER RESA SERVIZI/ADEMPIMENTI OBBLIGATORI PER LEGGE</v>
      </c>
      <c r="B16" s="279" t="str">
        <f>'t14'!B14</f>
        <v>L115</v>
      </c>
      <c r="C16" s="276">
        <f>'t14'!D14</f>
        <v>12224</v>
      </c>
      <c r="D16" s="355">
        <f>IF($B$4=0," ",(IF(C16=0," ",C16/$B$4)))</f>
        <v>2.0999999999999999E-3</v>
      </c>
      <c r="E16" s="1238" t="str">
        <f>IF(SI_1!G62=0,IF('t14'!D14=0," ","MANCA IL NUMERO DEI CONTRATTI NELLA SI_1"),IF('t14'!D14=0,"VERIFICARE SE INSERIRE LE SPESE"," "))</f>
        <v xml:space="preserve"> </v>
      </c>
      <c r="F16" s="1244"/>
      <c r="G16" s="299" t="str">
        <f>IF(AND(C16&gt;0,SI_1!G62&gt;0),"VALORE MEDIO UNITARIO DI SPESA =  "&amp;C16/SI_1!G62," ")</f>
        <v>VALORE MEDIO UNITARIO DI SPESA =  4074,66666666667</v>
      </c>
      <c r="H16" s="352"/>
      <c r="I16" s="352"/>
      <c r="J16" s="352"/>
      <c r="K16" s="352"/>
      <c r="L16" s="352"/>
      <c r="M16" s="352"/>
      <c r="N16" s="352"/>
    </row>
    <row r="17" spans="1:14" ht="19.5" customHeight="1" x14ac:dyDescent="0.2">
      <c r="A17" s="183" t="str">
        <f>'t14'!A15</f>
        <v>ALTRE SPESE</v>
      </c>
      <c r="B17" s="279" t="str">
        <f>'t14'!B15</f>
        <v>L110</v>
      </c>
      <c r="C17" s="276">
        <f>'t14'!D15</f>
        <v>0</v>
      </c>
      <c r="D17" s="355" t="str">
        <f t="shared" si="1"/>
        <v xml:space="preserve"> </v>
      </c>
      <c r="E17" s="1235" t="str">
        <f>IF($B$4=0,"TABELLE 12 -13 ASSENTI",(IF('t12'!J18=0,"TAB. 12 ASSENTE",(IF('t13'!U18=0,"TAB. 13 ASSENTE"," ")))))</f>
        <v xml:space="preserve"> </v>
      </c>
      <c r="F17" s="1246" t="s">
        <v>250</v>
      </c>
      <c r="G17" s="1247" t="s">
        <v>250</v>
      </c>
      <c r="H17" s="352"/>
      <c r="I17" s="352"/>
      <c r="J17" s="352"/>
      <c r="K17" s="352"/>
      <c r="L17" s="352"/>
      <c r="M17" s="352"/>
      <c r="N17" s="352"/>
    </row>
    <row r="18" spans="1:14" ht="19.5" customHeight="1" x14ac:dyDescent="0.2">
      <c r="A18" s="183" t="str">
        <f>'t14'!A16</f>
        <v>RETRIBUZIONI PERSONALE  A TEMPO DETERMINATO</v>
      </c>
      <c r="B18" s="279" t="str">
        <f>'t14'!B16</f>
        <v>P015</v>
      </c>
      <c r="C18" s="276">
        <f>'t14'!D16</f>
        <v>2580</v>
      </c>
      <c r="D18" s="355">
        <f t="shared" si="1"/>
        <v>4.0000000000000002E-4</v>
      </c>
      <c r="E18" s="1248" t="s">
        <v>250</v>
      </c>
      <c r="F18" s="1249" t="s">
        <v>250</v>
      </c>
      <c r="G18" s="1250" t="s">
        <v>250</v>
      </c>
      <c r="H18" s="352"/>
      <c r="I18" s="352"/>
      <c r="J18" s="352"/>
      <c r="K18" s="352"/>
      <c r="L18" s="352"/>
      <c r="M18" s="352"/>
      <c r="N18" s="352"/>
    </row>
    <row r="19" spans="1:14" ht="19.5" customHeight="1" x14ac:dyDescent="0.2">
      <c r="A19" s="183" t="str">
        <f>'t14'!A17</f>
        <v>RETRIBUZIONI PERSONALE CON CONTRATTO DI FORMAZIONE E LAVORO</v>
      </c>
      <c r="B19" s="279" t="str">
        <f>'t14'!B17</f>
        <v>P016</v>
      </c>
      <c r="C19" s="276">
        <f>'t14'!D17</f>
        <v>0</v>
      </c>
      <c r="D19" s="355" t="str">
        <f t="shared" si="1"/>
        <v xml:space="preserve"> </v>
      </c>
      <c r="E19" s="1248" t="s">
        <v>250</v>
      </c>
      <c r="F19" s="1249" t="s">
        <v>250</v>
      </c>
      <c r="G19" s="1250" t="s">
        <v>250</v>
      </c>
      <c r="H19" s="352"/>
      <c r="I19" s="352"/>
      <c r="J19" s="352"/>
      <c r="K19" s="352"/>
      <c r="L19" s="352"/>
      <c r="M19" s="352"/>
      <c r="N19" s="352"/>
    </row>
    <row r="20" spans="1:14" ht="19.5" customHeight="1" thickBot="1" x14ac:dyDescent="0.25">
      <c r="A20" s="183" t="str">
        <f>'t14'!A18</f>
        <v>INDENNITA' DI MISSIONE E TRASFERIMENTO</v>
      </c>
      <c r="B20" s="279" t="str">
        <f>'t14'!B18</f>
        <v>P030</v>
      </c>
      <c r="C20" s="276">
        <f>'t14'!D18</f>
        <v>856</v>
      </c>
      <c r="D20" s="355">
        <f t="shared" si="1"/>
        <v>1E-4</v>
      </c>
      <c r="E20" s="1251" t="s">
        <v>250</v>
      </c>
      <c r="F20" s="1252" t="s">
        <v>250</v>
      </c>
      <c r="G20" s="1253" t="s">
        <v>250</v>
      </c>
      <c r="H20" s="352"/>
      <c r="I20" s="352"/>
      <c r="J20" s="352"/>
      <c r="K20" s="352"/>
      <c r="L20" s="352"/>
      <c r="M20" s="352"/>
      <c r="N20" s="352"/>
    </row>
    <row r="21" spans="1:14" ht="30.75" customHeight="1" thickBot="1" x14ac:dyDescent="0.25">
      <c r="A21" s="183" t="str">
        <f>'t14'!A20</f>
        <v>CONTRIBUTI A CARICO DELL'AMM.NE SU COMP. FISSE E ACCESSORIE</v>
      </c>
      <c r="B21" s="279" t="str">
        <f>'t14'!B20</f>
        <v>P055</v>
      </c>
      <c r="C21" s="276">
        <f>'t14'!D20</f>
        <v>1683312</v>
      </c>
      <c r="D21" s="355">
        <f t="shared" si="1"/>
        <v>0.29220000000000002</v>
      </c>
      <c r="E21" s="416">
        <f>IF(AND(C31=0,B4=0)," ",IF(C31=0,"TABELLA 14 ASSENTE",IF(AND(B4=0,C18=0,C19=0,C25=0),"INSERIRE RETRIBUZIONI",IF(C21=0,"INSERIRE CONTRIBUTI",ROUND((C21/(B4+C18+C19+C25)*100),2)))))</f>
        <v>29.2</v>
      </c>
      <c r="F21" s="1239" t="str">
        <f>IF(AND(B4=0,C31=0)," ",IF(C31=0,"VALORE INCONGRUENTE",IF(C21=0," ",IF(OR(E21&lt;25.398,E21&gt;34.362),"VALORE INCONGRUENTE (Inc. 4)","OK"))))</f>
        <v>OK</v>
      </c>
      <c r="G21" s="1240"/>
      <c r="H21" s="352"/>
      <c r="I21" s="352"/>
      <c r="J21" s="352"/>
      <c r="K21" s="352"/>
      <c r="L21" s="352"/>
      <c r="M21" s="352"/>
      <c r="N21" s="352"/>
    </row>
    <row r="22" spans="1:14" ht="30.75" customHeight="1" thickBot="1" x14ac:dyDescent="0.25">
      <c r="A22" s="183" t="str">
        <f>'t14'!A21</f>
        <v>QUOTE ANNUE ACCANTONAMENTO TFR O ALTRA IND. FINE SERVIZIO</v>
      </c>
      <c r="B22" s="279" t="str">
        <f>'t14'!B21</f>
        <v>P058</v>
      </c>
      <c r="C22" s="276">
        <f>'t14'!D21</f>
        <v>0</v>
      </c>
      <c r="D22" s="355" t="str">
        <f>IF($B$4=0," ",(IF(C22=0," ",C22/$B$4)))</f>
        <v xml:space="preserve"> </v>
      </c>
      <c r="E22" s="1229" t="str">
        <f>IF($B$4=0,"TABELLE 12 -13 ASSENTI",(IF('t12'!$J$18=0,"TAB. 12 ASSENTE",(IF('t13'!$U$18=0,"TAB. 13 ASSENTE"," ")))))</f>
        <v xml:space="preserve"> </v>
      </c>
      <c r="F22" s="1230" t="s">
        <v>250</v>
      </c>
      <c r="G22" s="1231" t="s">
        <v>250</v>
      </c>
      <c r="H22" s="352"/>
      <c r="I22" s="352"/>
      <c r="J22" s="352"/>
      <c r="K22" s="352"/>
      <c r="L22" s="352"/>
      <c r="M22" s="352"/>
      <c r="N22" s="352"/>
    </row>
    <row r="23" spans="1:14" ht="24" customHeight="1" thickBot="1" x14ac:dyDescent="0.25">
      <c r="A23" s="183" t="str">
        <f>'t14'!A22</f>
        <v>IRAP</v>
      </c>
      <c r="B23" s="279" t="str">
        <f>'t14'!B22</f>
        <v>P061</v>
      </c>
      <c r="C23" s="276">
        <f>'t14'!D22</f>
        <v>480340</v>
      </c>
      <c r="D23" s="355">
        <f>IF($B$4=0," ",IF(C23=0," ",C23/$B$4))</f>
        <v>8.3400000000000002E-2</v>
      </c>
      <c r="E23" s="416">
        <f>IF(AND(B4=0,C31=0)," ",IF(C31=0,"TABELLA 14 ASSENTE",IF(AND(B4=0,C18=0,C19=0,C25=0),"INSERIRE RETRIBUZIONI",IF(C23=0,"INSERIRE SOMME IRAP",ROUND((C23/(B4+C18+C19+C25)*100),2)))))</f>
        <v>8.33</v>
      </c>
      <c r="F23" s="1241" t="str">
        <f>IF('t14'!G22=1,IF(E23&gt;8.5,"VALORE INCONGRUENTE (Inc.4)","E' stata dichiarata IRAP Commerciale"),IF(AND(B4=0,C31=0)," ",IF(C31=0,"VALORE INCONGRUENTE",IF(C23=0," ",IF(OR(E23&lt;7.65,E23&gt;9.35),"VALORE INCONGRUENTE (Inc.4)","OK")))))</f>
        <v>OK</v>
      </c>
      <c r="G23" s="1242"/>
      <c r="H23" s="352"/>
      <c r="I23" s="352"/>
      <c r="J23" s="352"/>
      <c r="K23" s="352"/>
      <c r="L23" s="352"/>
      <c r="M23" s="352"/>
      <c r="N23" s="352"/>
    </row>
    <row r="24" spans="1:14" ht="19.5" customHeight="1" thickBot="1" x14ac:dyDescent="0.25">
      <c r="A24" s="183" t="str">
        <f>'t14'!A23</f>
        <v>ONERI PER I CONTRATTI DI SOMMINISTRAZIONE(INTERINALI)</v>
      </c>
      <c r="B24" s="279" t="str">
        <f>'t14'!B23</f>
        <v>P062</v>
      </c>
      <c r="C24" s="277">
        <f>'t14'!D23</f>
        <v>0</v>
      </c>
      <c r="D24" s="357" t="str">
        <f>IF($B$4=0," ",(IF(AND(C24=0,C12&gt;0),"MANCANO GLI ONERI PER I LAVORATORI",IF(C24=0," ",C24/$B$4))))</f>
        <v xml:space="preserve"> </v>
      </c>
      <c r="E24" s="1243" t="str">
        <f>(IF(AND(C24=0,C12&gt;0),"L105 VALORIZZATA; INSERIRE RETRIBUZIONI PER INTERINALI (P062)"," "))</f>
        <v xml:space="preserve"> </v>
      </c>
      <c r="F24" s="1254"/>
      <c r="G24" s="1255"/>
      <c r="H24" s="352"/>
      <c r="I24" s="352"/>
      <c r="J24" s="352"/>
      <c r="K24" s="352"/>
      <c r="L24" s="352"/>
      <c r="M24" s="352"/>
      <c r="N24" s="352"/>
    </row>
    <row r="25" spans="1:14" ht="19.5" customHeight="1" x14ac:dyDescent="0.2">
      <c r="A25" s="183" t="str">
        <f>'t14'!A24</f>
        <v>COMPENSI PER PERSONALE LSU/LPU</v>
      </c>
      <c r="B25" s="279" t="str">
        <f>'t14'!B24</f>
        <v>P065</v>
      </c>
      <c r="C25" s="276">
        <f>'t14'!D24</f>
        <v>0</v>
      </c>
      <c r="D25" s="359" t="str">
        <f t="shared" ref="D25:D30" si="2">IF($B$4=0," ",(IF(C25=0," ",C25/$B$4)))</f>
        <v xml:space="preserve"> </v>
      </c>
      <c r="E25" s="1229" t="str">
        <f>IF($B$4=0,"TABELLE 12 -13 ASSENTI",(IF('t12'!$J$18=0,"TAB. 12 ASSENTE",(IF('t13'!$U$18=0,"TAB. 13 ASSENTE"," ")))))</f>
        <v xml:space="preserve"> </v>
      </c>
      <c r="F25" s="1230"/>
      <c r="G25" s="1231"/>
      <c r="H25" s="352"/>
      <c r="I25" s="352"/>
      <c r="J25" s="352"/>
      <c r="K25" s="352"/>
      <c r="L25" s="352"/>
      <c r="M25" s="352"/>
      <c r="N25" s="352"/>
    </row>
    <row r="26" spans="1:14" ht="19.5" customHeight="1" x14ac:dyDescent="0.2">
      <c r="A26" s="183" t="str">
        <f>'t14'!A25</f>
        <v>SOMME RIMBORSATE PER PERSONALE COMAND./FUORI RUOLO/IN CONV.</v>
      </c>
      <c r="B26" s="279" t="str">
        <f>'t14'!B25</f>
        <v>P071</v>
      </c>
      <c r="C26" s="276">
        <f>'t14'!D25</f>
        <v>0</v>
      </c>
      <c r="D26" s="358" t="str">
        <f t="shared" si="2"/>
        <v xml:space="preserve"> </v>
      </c>
      <c r="E26" s="1229"/>
      <c r="F26" s="1230"/>
      <c r="G26" s="1231"/>
      <c r="H26" s="352"/>
      <c r="I26" s="352"/>
      <c r="J26" s="352"/>
      <c r="K26" s="352"/>
      <c r="L26" s="352"/>
      <c r="M26" s="352"/>
      <c r="N26" s="352"/>
    </row>
    <row r="27" spans="1:14" ht="19.5" customHeight="1" x14ac:dyDescent="0.2">
      <c r="A27" s="183" t="str">
        <f>'t14'!A26</f>
        <v>ALTRE SOMME RIMBORSATE ALLE AMMINISTRAZIONI</v>
      </c>
      <c r="B27" s="279" t="str">
        <f>'t14'!B26</f>
        <v>P074</v>
      </c>
      <c r="C27" s="276">
        <f>'t14'!D26</f>
        <v>0</v>
      </c>
      <c r="D27" s="358" t="str">
        <f t="shared" si="2"/>
        <v xml:space="preserve"> </v>
      </c>
      <c r="E27" s="1229"/>
      <c r="F27" s="1230"/>
      <c r="G27" s="1231"/>
      <c r="H27" s="352"/>
      <c r="I27" s="352"/>
      <c r="J27" s="352"/>
      <c r="K27" s="352"/>
      <c r="L27" s="352"/>
      <c r="M27" s="352"/>
      <c r="N27" s="352"/>
    </row>
    <row r="28" spans="1:14" ht="19.5" customHeight="1" x14ac:dyDescent="0.2">
      <c r="A28" s="183" t="str">
        <f>'t14'!A27</f>
        <v>SOMME RICEVUTE DA U.E. E/O PRIVATI (-)</v>
      </c>
      <c r="B28" s="279" t="str">
        <f>'t14'!B27</f>
        <v>P098</v>
      </c>
      <c r="C28" s="276">
        <f>'t14'!D27</f>
        <v>0</v>
      </c>
      <c r="D28" s="358" t="str">
        <f t="shared" si="2"/>
        <v xml:space="preserve"> </v>
      </c>
      <c r="E28" s="1229"/>
      <c r="F28" s="1230"/>
      <c r="G28" s="1231"/>
      <c r="H28" s="352"/>
      <c r="I28" s="352"/>
      <c r="J28" s="352"/>
      <c r="K28" s="352"/>
      <c r="L28" s="352"/>
      <c r="M28" s="352"/>
      <c r="N28" s="352"/>
    </row>
    <row r="29" spans="1:14" ht="19.5" customHeight="1" x14ac:dyDescent="0.2">
      <c r="A29" s="183" t="str">
        <f>'t14'!A28</f>
        <v>RIMBORSI RICEVUTI PER PERS. COMAND./FUORI RUOLO/IN CONV. (-)</v>
      </c>
      <c r="B29" s="279" t="str">
        <f>'t14'!B28</f>
        <v>P090</v>
      </c>
      <c r="C29" s="276">
        <f>'t14'!D28</f>
        <v>0</v>
      </c>
      <c r="D29" s="358" t="str">
        <f t="shared" si="2"/>
        <v xml:space="preserve"> </v>
      </c>
      <c r="E29" s="1229"/>
      <c r="F29" s="1230"/>
      <c r="G29" s="1231"/>
      <c r="H29" s="352"/>
      <c r="I29" s="352"/>
      <c r="J29" s="352"/>
      <c r="K29" s="352"/>
      <c r="L29" s="352"/>
      <c r="M29" s="352"/>
      <c r="N29" s="352"/>
    </row>
    <row r="30" spans="1:14" ht="19.5" customHeight="1" thickBot="1" x14ac:dyDescent="0.25">
      <c r="A30" s="183" t="str">
        <f>'t14'!A29</f>
        <v>ALTRI RIMBORSI RICEVUTI DALLE AMMINISTRAZIONI (-)</v>
      </c>
      <c r="B30" s="279" t="str">
        <f>'t14'!B29</f>
        <v>P099</v>
      </c>
      <c r="C30" s="276">
        <f>'t14'!D29</f>
        <v>0</v>
      </c>
      <c r="D30" s="358" t="str">
        <f t="shared" si="2"/>
        <v xml:space="preserve"> </v>
      </c>
      <c r="E30" s="1232"/>
      <c r="F30" s="1233"/>
      <c r="G30" s="1234"/>
      <c r="H30" s="352"/>
      <c r="I30" s="352"/>
      <c r="J30" s="352"/>
      <c r="K30" s="352"/>
      <c r="L30" s="352"/>
      <c r="M30" s="352"/>
      <c r="N30" s="352"/>
    </row>
    <row r="31" spans="1:14" s="351" customFormat="1" ht="18" customHeight="1" x14ac:dyDescent="0.2">
      <c r="A31" s="349" t="s">
        <v>55</v>
      </c>
      <c r="B31" s="349"/>
      <c r="C31" s="350">
        <f>SUM(C6:C30)</f>
        <v>2558207</v>
      </c>
      <c r="D31" s="349"/>
      <c r="E31" s="349"/>
      <c r="F31" s="349"/>
      <c r="G31" s="349"/>
      <c r="I31" s="353"/>
      <c r="J31" s="353"/>
      <c r="K31" s="353"/>
      <c r="L31" s="353"/>
      <c r="M31" s="353"/>
      <c r="N31" s="353"/>
    </row>
  </sheetData>
  <sheetProtection password="DD41" sheet="1" formatColumns="0" selectLockedCells="1" selectUnlockedCells="1"/>
  <mergeCells count="16">
    <mergeCell ref="A1:E1"/>
    <mergeCell ref="B2:G2"/>
    <mergeCell ref="B4:G4"/>
    <mergeCell ref="E5:G5"/>
    <mergeCell ref="E25:G30"/>
    <mergeCell ref="E6:G11"/>
    <mergeCell ref="E12:G12"/>
    <mergeCell ref="F21:G21"/>
    <mergeCell ref="F23:G23"/>
    <mergeCell ref="E13:G13"/>
    <mergeCell ref="E17:G20"/>
    <mergeCell ref="E22:G22"/>
    <mergeCell ref="E14:F14"/>
    <mergeCell ref="E15:F15"/>
    <mergeCell ref="E24:G24"/>
    <mergeCell ref="E16:F16"/>
  </mergeCells>
  <phoneticPr fontId="30" type="noConversion"/>
  <printOptions horizontalCentered="1" verticalCentered="1"/>
  <pageMargins left="0.19685039370078741" right="0.23622047244094491" top="0.19685039370078741" bottom="0.19685039370078741" header="0.15748031496062992" footer="0.15748031496062992"/>
  <pageSetup paperSize="9" scale="72" orientation="landscape" horizontalDpi="300" verticalDpi="300" r:id="rId1"/>
  <headerFooter alignWithMargins="0"/>
  <ignoredErrors>
    <ignoredError sqref="D2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27"/>
  <sheetViews>
    <sheetView showGridLines="0" zoomScaleNormal="100" workbookViewId="0">
      <pane xSplit="2" ySplit="6" topLeftCell="AA7" activePane="bottomRight" state="frozen"/>
      <selection activeCell="R90" sqref="R90"/>
      <selection pane="topRight" activeCell="R90" sqref="R90"/>
      <selection pane="bottomLeft" activeCell="R90" sqref="R90"/>
      <selection pane="bottomRight" activeCell="AC7" sqref="AC7"/>
    </sheetView>
  </sheetViews>
  <sheetFormatPr defaultColWidth="10.7109375" defaultRowHeight="13.2" x14ac:dyDescent="0.25"/>
  <cols>
    <col min="1" max="1" width="58.7109375" style="751" customWidth="1"/>
    <col min="2" max="2" width="8.140625" style="751" bestFit="1" customWidth="1"/>
    <col min="3" max="18" width="10.7109375" style="751" hidden="1" customWidth="1"/>
    <col min="19" max="20" width="11.42578125" style="751" hidden="1" customWidth="1"/>
    <col min="21" max="26" width="10.7109375" style="751" hidden="1" customWidth="1"/>
    <col min="27" max="40" width="10.7109375" style="751"/>
    <col min="41" max="42" width="0" style="751" hidden="1" customWidth="1"/>
    <col min="43" max="44" width="11.42578125" style="751" customWidth="1"/>
    <col min="45" max="45" width="5.140625" style="751" customWidth="1"/>
    <col min="46" max="47" width="11.42578125" style="751" customWidth="1"/>
    <col min="48" max="16384" width="10.7109375" style="751"/>
  </cols>
  <sheetData>
    <row r="1" spans="1:47" s="744" customFormat="1" ht="27" customHeight="1" x14ac:dyDescent="0.3">
      <c r="A1" s="1097" t="str">
        <f>'t1'!A1</f>
        <v>AFAM - anno 2023</v>
      </c>
      <c r="B1" s="1097"/>
      <c r="C1" s="1097"/>
      <c r="D1" s="1097"/>
      <c r="E1" s="1097"/>
      <c r="F1" s="1097"/>
      <c r="G1" s="1097"/>
      <c r="H1" s="1097"/>
      <c r="I1" s="1097"/>
      <c r="J1" s="1097"/>
      <c r="S1" s="745"/>
      <c r="T1" s="746"/>
      <c r="AQ1" s="745"/>
      <c r="AR1" s="746"/>
    </row>
    <row r="2" spans="1:47" s="747" customFormat="1" ht="28.5" customHeight="1" x14ac:dyDescent="0.25">
      <c r="B2" s="748"/>
      <c r="C2" s="748"/>
      <c r="AA2" s="748"/>
    </row>
    <row r="3" spans="1:47" s="747" customFormat="1" ht="9" customHeight="1" thickBot="1" x14ac:dyDescent="0.3">
      <c r="A3" s="749"/>
      <c r="B3" s="748"/>
      <c r="C3" s="748"/>
      <c r="D3" s="750"/>
      <c r="E3" s="750"/>
      <c r="F3" s="750"/>
      <c r="G3" s="750"/>
      <c r="AA3" s="748"/>
      <c r="AB3" s="750"/>
      <c r="AC3" s="750"/>
      <c r="AD3" s="750"/>
      <c r="AE3" s="750"/>
    </row>
    <row r="4" spans="1:47" ht="15.75" customHeight="1" thickBot="1" x14ac:dyDescent="0.3">
      <c r="A4" s="1098" t="s">
        <v>659</v>
      </c>
      <c r="B4" s="1101" t="s">
        <v>92</v>
      </c>
      <c r="C4" s="1104" t="s">
        <v>575</v>
      </c>
      <c r="D4" s="1105"/>
      <c r="E4" s="1105"/>
      <c r="F4" s="1105"/>
      <c r="G4" s="1105"/>
      <c r="H4" s="1105"/>
      <c r="I4" s="1105"/>
      <c r="J4" s="1105"/>
      <c r="K4" s="1105"/>
      <c r="L4" s="1105"/>
      <c r="M4" s="1105"/>
      <c r="N4" s="1105"/>
      <c r="O4" s="1105"/>
      <c r="P4" s="1105"/>
      <c r="Q4" s="1105"/>
      <c r="R4" s="1105"/>
      <c r="S4" s="1105"/>
      <c r="T4" s="1106"/>
      <c r="AA4" s="1107" t="s">
        <v>575</v>
      </c>
      <c r="AB4" s="1108"/>
      <c r="AC4" s="1108"/>
      <c r="AD4" s="1108"/>
      <c r="AE4" s="1108"/>
      <c r="AF4" s="1108"/>
      <c r="AG4" s="1108"/>
      <c r="AH4" s="1108"/>
      <c r="AI4" s="1108"/>
      <c r="AJ4" s="1108"/>
      <c r="AK4" s="1108"/>
      <c r="AL4" s="1108"/>
      <c r="AM4" s="1108"/>
      <c r="AN4" s="1108"/>
      <c r="AO4" s="1108"/>
      <c r="AP4" s="1108"/>
      <c r="AQ4" s="1108"/>
      <c r="AR4" s="1109"/>
      <c r="AT4" s="1015"/>
      <c r="AU4" s="1016"/>
    </row>
    <row r="5" spans="1:47" s="752" customFormat="1" ht="72" customHeight="1" thickBot="1" x14ac:dyDescent="0.25">
      <c r="A5" s="1099"/>
      <c r="B5" s="1102"/>
      <c r="C5" s="1094" t="s">
        <v>694</v>
      </c>
      <c r="D5" s="1095"/>
      <c r="E5" s="1094" t="s">
        <v>695</v>
      </c>
      <c r="F5" s="1095"/>
      <c r="G5" s="1094" t="s">
        <v>696</v>
      </c>
      <c r="H5" s="1095"/>
      <c r="I5" s="1094" t="s">
        <v>697</v>
      </c>
      <c r="J5" s="1095"/>
      <c r="K5" s="1094" t="s">
        <v>698</v>
      </c>
      <c r="L5" s="1095"/>
      <c r="M5" s="1094" t="s">
        <v>699</v>
      </c>
      <c r="N5" s="1095"/>
      <c r="O5" s="1094" t="s">
        <v>700</v>
      </c>
      <c r="P5" s="1095"/>
      <c r="Q5" s="1094"/>
      <c r="R5" s="1095"/>
      <c r="S5" s="1094" t="str">
        <f>"TOTALE
(Presenti al 31/12/"&amp;'t1'!L1&amp;")"</f>
        <v>TOTALE
(Presenti al 31/12/2023)</v>
      </c>
      <c r="T5" s="1096"/>
      <c r="AA5" s="1090" t="s">
        <v>694</v>
      </c>
      <c r="AB5" s="1088"/>
      <c r="AC5" s="1087" t="s">
        <v>695</v>
      </c>
      <c r="AD5" s="1088"/>
      <c r="AE5" s="1087" t="s">
        <v>696</v>
      </c>
      <c r="AF5" s="1088"/>
      <c r="AG5" s="1087" t="s">
        <v>697</v>
      </c>
      <c r="AH5" s="1088"/>
      <c r="AI5" s="1087" t="s">
        <v>698</v>
      </c>
      <c r="AJ5" s="1088"/>
      <c r="AK5" s="1087" t="s">
        <v>699</v>
      </c>
      <c r="AL5" s="1088"/>
      <c r="AM5" s="1087" t="s">
        <v>700</v>
      </c>
      <c r="AN5" s="1088"/>
      <c r="AO5" s="1087" t="s">
        <v>658</v>
      </c>
      <c r="AP5" s="1089"/>
      <c r="AQ5" s="1090" t="str">
        <f>"TOTALE
(Presenti al 31/12/"&amp;'t1'!AJ1&amp;")"</f>
        <v>TOTALE
(Presenti al 31/12/)</v>
      </c>
      <c r="AR5" s="1091"/>
      <c r="AT5" s="1092" t="s">
        <v>671</v>
      </c>
      <c r="AU5" s="1093"/>
    </row>
    <row r="6" spans="1:47" s="756" customFormat="1" ht="10.8" thickBot="1" x14ac:dyDescent="0.25">
      <c r="A6" s="1100"/>
      <c r="B6" s="1103"/>
      <c r="C6" s="753" t="s">
        <v>53</v>
      </c>
      <c r="D6" s="754" t="s">
        <v>54</v>
      </c>
      <c r="E6" s="753" t="s">
        <v>53</v>
      </c>
      <c r="F6" s="754" t="s">
        <v>54</v>
      </c>
      <c r="G6" s="753" t="s">
        <v>53</v>
      </c>
      <c r="H6" s="754" t="s">
        <v>54</v>
      </c>
      <c r="I6" s="753" t="s">
        <v>53</v>
      </c>
      <c r="J6" s="754" t="s">
        <v>54</v>
      </c>
      <c r="K6" s="753" t="s">
        <v>53</v>
      </c>
      <c r="L6" s="754" t="s">
        <v>54</v>
      </c>
      <c r="M6" s="753" t="s">
        <v>53</v>
      </c>
      <c r="N6" s="754" t="s">
        <v>54</v>
      </c>
      <c r="O6" s="753" t="s">
        <v>53</v>
      </c>
      <c r="P6" s="754" t="s">
        <v>54</v>
      </c>
      <c r="Q6" s="753" t="s">
        <v>53</v>
      </c>
      <c r="R6" s="754" t="s">
        <v>54</v>
      </c>
      <c r="S6" s="753" t="s">
        <v>53</v>
      </c>
      <c r="T6" s="755" t="s">
        <v>54</v>
      </c>
      <c r="AA6" s="996" t="s">
        <v>53</v>
      </c>
      <c r="AB6" s="998" t="s">
        <v>54</v>
      </c>
      <c r="AC6" s="753" t="s">
        <v>53</v>
      </c>
      <c r="AD6" s="998" t="s">
        <v>54</v>
      </c>
      <c r="AE6" s="753" t="s">
        <v>53</v>
      </c>
      <c r="AF6" s="998" t="s">
        <v>54</v>
      </c>
      <c r="AG6" s="753" t="s">
        <v>53</v>
      </c>
      <c r="AH6" s="998" t="s">
        <v>54</v>
      </c>
      <c r="AI6" s="753" t="s">
        <v>53</v>
      </c>
      <c r="AJ6" s="998" t="s">
        <v>54</v>
      </c>
      <c r="AK6" s="753" t="s">
        <v>53</v>
      </c>
      <c r="AL6" s="998" t="s">
        <v>54</v>
      </c>
      <c r="AM6" s="753" t="s">
        <v>53</v>
      </c>
      <c r="AN6" s="998" t="s">
        <v>54</v>
      </c>
      <c r="AO6" s="753" t="s">
        <v>53</v>
      </c>
      <c r="AP6" s="999" t="s">
        <v>54</v>
      </c>
      <c r="AQ6" s="992" t="s">
        <v>53</v>
      </c>
      <c r="AR6" s="993" t="s">
        <v>54</v>
      </c>
      <c r="AT6" s="1017" t="s">
        <v>53</v>
      </c>
      <c r="AU6" s="1018" t="s">
        <v>54</v>
      </c>
    </row>
    <row r="7" spans="1:47" ht="13.5" customHeight="1" x14ac:dyDescent="0.25">
      <c r="A7" s="757" t="str">
        <f>'t1'!A6</f>
        <v>PROFESSORI DI PRIMA FASCIA</v>
      </c>
      <c r="B7" s="758" t="str">
        <f>'t1'!B6</f>
        <v>018P01</v>
      </c>
      <c r="C7" s="759">
        <f>ROUND(AA7,0)</f>
        <v>10</v>
      </c>
      <c r="D7" s="759">
        <f t="shared" ref="D7:R7" si="0">ROUND(AB7,0)</f>
        <v>1</v>
      </c>
      <c r="E7" s="759">
        <f t="shared" si="0"/>
        <v>7</v>
      </c>
      <c r="F7" s="759">
        <f t="shared" si="0"/>
        <v>6</v>
      </c>
      <c r="G7" s="759">
        <f t="shared" si="0"/>
        <v>4</v>
      </c>
      <c r="H7" s="759">
        <f t="shared" si="0"/>
        <v>1</v>
      </c>
      <c r="I7" s="759">
        <f t="shared" si="0"/>
        <v>5</v>
      </c>
      <c r="J7" s="759">
        <f t="shared" si="0"/>
        <v>5</v>
      </c>
      <c r="K7" s="759">
        <f t="shared" si="0"/>
        <v>16</v>
      </c>
      <c r="L7" s="759">
        <f t="shared" si="0"/>
        <v>4</v>
      </c>
      <c r="M7" s="759">
        <f t="shared" si="0"/>
        <v>12</v>
      </c>
      <c r="N7" s="759">
        <f t="shared" si="0"/>
        <v>1</v>
      </c>
      <c r="O7" s="759">
        <f t="shared" si="0"/>
        <v>14</v>
      </c>
      <c r="P7" s="759">
        <f t="shared" si="0"/>
        <v>3</v>
      </c>
      <c r="Q7" s="759">
        <f t="shared" si="0"/>
        <v>0</v>
      </c>
      <c r="R7" s="759">
        <f t="shared" si="0"/>
        <v>0</v>
      </c>
      <c r="S7" s="761">
        <f>C7+E7+G7+I7+K7+M7+O7+Q7</f>
        <v>68</v>
      </c>
      <c r="T7" s="762">
        <f>D7+F7+H7+J7+L7+N7+P7+R7</f>
        <v>21</v>
      </c>
      <c r="U7" s="763">
        <f>'t1'!M6</f>
        <v>89</v>
      </c>
      <c r="AA7" s="997">
        <v>10</v>
      </c>
      <c r="AB7" s="760">
        <v>1</v>
      </c>
      <c r="AC7" s="760">
        <v>7</v>
      </c>
      <c r="AD7" s="760">
        <v>6</v>
      </c>
      <c r="AE7" s="760">
        <v>4</v>
      </c>
      <c r="AF7" s="760">
        <v>1</v>
      </c>
      <c r="AG7" s="760">
        <v>5</v>
      </c>
      <c r="AH7" s="760">
        <v>5</v>
      </c>
      <c r="AI7" s="760">
        <v>16</v>
      </c>
      <c r="AJ7" s="760">
        <v>4</v>
      </c>
      <c r="AK7" s="760">
        <v>12</v>
      </c>
      <c r="AL7" s="760">
        <v>1</v>
      </c>
      <c r="AM7" s="760">
        <v>14</v>
      </c>
      <c r="AN7" s="760">
        <v>3</v>
      </c>
      <c r="AO7" s="1033"/>
      <c r="AP7" s="1034"/>
      <c r="AQ7" s="994">
        <f>AA7+AC7+AE7+AG7+AI7+AK7+AM7+AO7</f>
        <v>68</v>
      </c>
      <c r="AR7" s="762">
        <f>AB7+AD7+AF7+AH7+AJ7+AL7+AN7+AP7</f>
        <v>21</v>
      </c>
      <c r="AT7" s="1021" t="str">
        <f>IF('t1'!AI6='1E'!AQ7,"OK","Errore")</f>
        <v>OK</v>
      </c>
      <c r="AU7" s="1022" t="str">
        <f>IF('t1'!AJ6='1E'!AR7,"OK","Errore")</f>
        <v>OK</v>
      </c>
    </row>
    <row r="8" spans="1:47" ht="13.5" customHeight="1" x14ac:dyDescent="0.25">
      <c r="A8" s="757" t="str">
        <f>'t1'!A7</f>
        <v>DIRETTORE AMMINISTRATIVO EP2</v>
      </c>
      <c r="B8" s="758" t="str">
        <f>'t1'!B7</f>
        <v>013504</v>
      </c>
      <c r="C8" s="759">
        <f t="shared" ref="C8:C18" si="1">ROUND(AA8,0)</f>
        <v>0</v>
      </c>
      <c r="D8" s="759">
        <f t="shared" ref="D8:D18" si="2">ROUND(AB8,0)</f>
        <v>0</v>
      </c>
      <c r="E8" s="759">
        <f t="shared" ref="E8:E18" si="3">ROUND(AC8,0)</f>
        <v>0</v>
      </c>
      <c r="F8" s="759">
        <f t="shared" ref="F8:F18" si="4">ROUND(AD8,0)</f>
        <v>0</v>
      </c>
      <c r="G8" s="759">
        <f t="shared" ref="G8:G18" si="5">ROUND(AE8,0)</f>
        <v>0</v>
      </c>
      <c r="H8" s="759">
        <f t="shared" ref="H8:H18" si="6">ROUND(AF8,0)</f>
        <v>0</v>
      </c>
      <c r="I8" s="759">
        <f t="shared" ref="I8:I18" si="7">ROUND(AG8,0)</f>
        <v>0</v>
      </c>
      <c r="J8" s="759">
        <f t="shared" ref="J8:J18" si="8">ROUND(AH8,0)</f>
        <v>0</v>
      </c>
      <c r="K8" s="759">
        <f t="shared" ref="K8:K18" si="9">ROUND(AI8,0)</f>
        <v>0</v>
      </c>
      <c r="L8" s="759">
        <f t="shared" ref="L8:L18" si="10">ROUND(AJ8,0)</f>
        <v>0</v>
      </c>
      <c r="M8" s="759">
        <f t="shared" ref="M8:M18" si="11">ROUND(AK8,0)</f>
        <v>0</v>
      </c>
      <c r="N8" s="759">
        <f t="shared" ref="N8:N18" si="12">ROUND(AL8,0)</f>
        <v>0</v>
      </c>
      <c r="O8" s="759">
        <f t="shared" ref="O8:O18" si="13">ROUND(AM8,0)</f>
        <v>0</v>
      </c>
      <c r="P8" s="759">
        <f t="shared" ref="P8:P18" si="14">ROUND(AN8,0)</f>
        <v>0</v>
      </c>
      <c r="Q8" s="759">
        <f t="shared" ref="Q8:Q18" si="15">ROUND(AO8,0)</f>
        <v>0</v>
      </c>
      <c r="R8" s="759">
        <f t="shared" ref="R8:R18" si="16">ROUND(AP8,0)</f>
        <v>0</v>
      </c>
      <c r="S8" s="761">
        <f t="shared" ref="S8:S18" si="17">C8+E8+G8+I8+K8+M8+O8+Q8</f>
        <v>0</v>
      </c>
      <c r="T8" s="762">
        <f t="shared" ref="T8:T18" si="18">D8+F8+H8+J8+L8+N8+P8+R8</f>
        <v>0</v>
      </c>
      <c r="U8" s="763">
        <f>'t1'!M7</f>
        <v>0</v>
      </c>
      <c r="AA8" s="997"/>
      <c r="AB8" s="760"/>
      <c r="AC8" s="760"/>
      <c r="AD8" s="760"/>
      <c r="AE8" s="760"/>
      <c r="AF8" s="760"/>
      <c r="AG8" s="760"/>
      <c r="AH8" s="760"/>
      <c r="AI8" s="760"/>
      <c r="AJ8" s="760"/>
      <c r="AK8" s="760"/>
      <c r="AL8" s="760"/>
      <c r="AM8" s="760"/>
      <c r="AN8" s="760"/>
      <c r="AO8" s="1033"/>
      <c r="AP8" s="1034"/>
      <c r="AQ8" s="994">
        <f t="shared" ref="AQ8:AQ18" si="19">AA8+AC8+AE8+AG8+AI8+AK8+AM8+AO8</f>
        <v>0</v>
      </c>
      <c r="AR8" s="762">
        <f t="shared" ref="AR8:AR18" si="20">AB8+AD8+AF8+AH8+AJ8+AL8+AN8+AP8</f>
        <v>0</v>
      </c>
      <c r="AT8" s="1023" t="str">
        <f>IF('t1'!AI7='1E'!AQ8,"OK","Errore")</f>
        <v>OK</v>
      </c>
      <c r="AU8" s="1024" t="str">
        <f>IF('t1'!AJ7='1E'!AR8,"OK","Errore")</f>
        <v>OK</v>
      </c>
    </row>
    <row r="9" spans="1:47" ht="13.5" customHeight="1" x14ac:dyDescent="0.25">
      <c r="A9" s="757" t="str">
        <f>'t1'!A8</f>
        <v>DIRETTORE DELL UFFICIO DI RAGIONERIA (EP1)</v>
      </c>
      <c r="B9" s="758" t="str">
        <f>'t1'!B8</f>
        <v>013159</v>
      </c>
      <c r="C9" s="759">
        <f t="shared" si="1"/>
        <v>0</v>
      </c>
      <c r="D9" s="759">
        <f t="shared" si="2"/>
        <v>0</v>
      </c>
      <c r="E9" s="759">
        <f t="shared" si="3"/>
        <v>0</v>
      </c>
      <c r="F9" s="759">
        <f t="shared" si="4"/>
        <v>0</v>
      </c>
      <c r="G9" s="759">
        <f t="shared" si="5"/>
        <v>0</v>
      </c>
      <c r="H9" s="759">
        <f t="shared" si="6"/>
        <v>0</v>
      </c>
      <c r="I9" s="759">
        <f t="shared" si="7"/>
        <v>0</v>
      </c>
      <c r="J9" s="759">
        <f t="shared" si="8"/>
        <v>0</v>
      </c>
      <c r="K9" s="759">
        <f t="shared" si="9"/>
        <v>0</v>
      </c>
      <c r="L9" s="759">
        <f t="shared" si="10"/>
        <v>0</v>
      </c>
      <c r="M9" s="759">
        <f t="shared" si="11"/>
        <v>0</v>
      </c>
      <c r="N9" s="759">
        <f t="shared" si="12"/>
        <v>0</v>
      </c>
      <c r="O9" s="759">
        <f t="shared" si="13"/>
        <v>0</v>
      </c>
      <c r="P9" s="759">
        <f t="shared" si="14"/>
        <v>0</v>
      </c>
      <c r="Q9" s="759">
        <f t="shared" si="15"/>
        <v>0</v>
      </c>
      <c r="R9" s="759">
        <f t="shared" si="16"/>
        <v>0</v>
      </c>
      <c r="S9" s="761">
        <f t="shared" si="17"/>
        <v>0</v>
      </c>
      <c r="T9" s="762">
        <f t="shared" si="18"/>
        <v>0</v>
      </c>
      <c r="U9" s="763">
        <f>'t1'!M8</f>
        <v>0</v>
      </c>
      <c r="AA9" s="997"/>
      <c r="AB9" s="760"/>
      <c r="AC9" s="760"/>
      <c r="AD9" s="760"/>
      <c r="AE9" s="760"/>
      <c r="AF9" s="760"/>
      <c r="AG9" s="760"/>
      <c r="AH9" s="760"/>
      <c r="AI9" s="760"/>
      <c r="AJ9" s="760"/>
      <c r="AK9" s="760"/>
      <c r="AL9" s="760"/>
      <c r="AM9" s="760"/>
      <c r="AN9" s="760"/>
      <c r="AO9" s="1033"/>
      <c r="AP9" s="1034"/>
      <c r="AQ9" s="994">
        <f t="shared" si="19"/>
        <v>0</v>
      </c>
      <c r="AR9" s="762">
        <f t="shared" si="20"/>
        <v>0</v>
      </c>
      <c r="AT9" s="1023" t="str">
        <f>IF('t1'!AI8='1E'!AQ9,"OK","Errore")</f>
        <v>OK</v>
      </c>
      <c r="AU9" s="1024" t="str">
        <f>IF('t1'!AJ8='1E'!AR9,"OK","Errore")</f>
        <v>OK</v>
      </c>
    </row>
    <row r="10" spans="1:47" ht="13.5" customHeight="1" x14ac:dyDescent="0.25">
      <c r="A10" s="757" t="str">
        <f>'t1'!A9</f>
        <v>COLLABORATORE AREA III</v>
      </c>
      <c r="B10" s="758" t="str">
        <f>'t1'!B9</f>
        <v>013CTE</v>
      </c>
      <c r="C10" s="759">
        <f t="shared" si="1"/>
        <v>0</v>
      </c>
      <c r="D10" s="759">
        <f t="shared" si="2"/>
        <v>0</v>
      </c>
      <c r="E10" s="759">
        <f t="shared" si="3"/>
        <v>0</v>
      </c>
      <c r="F10" s="759">
        <f t="shared" si="4"/>
        <v>1</v>
      </c>
      <c r="G10" s="759">
        <f t="shared" si="5"/>
        <v>0</v>
      </c>
      <c r="H10" s="759">
        <f t="shared" si="6"/>
        <v>0</v>
      </c>
      <c r="I10" s="759">
        <f t="shared" si="7"/>
        <v>0</v>
      </c>
      <c r="J10" s="759">
        <f t="shared" si="8"/>
        <v>0</v>
      </c>
      <c r="K10" s="759">
        <f t="shared" si="9"/>
        <v>0</v>
      </c>
      <c r="L10" s="759">
        <f t="shared" si="10"/>
        <v>0</v>
      </c>
      <c r="M10" s="759">
        <f t="shared" si="11"/>
        <v>0</v>
      </c>
      <c r="N10" s="759">
        <f t="shared" si="12"/>
        <v>0</v>
      </c>
      <c r="O10" s="759">
        <f t="shared" si="13"/>
        <v>0</v>
      </c>
      <c r="P10" s="759">
        <f t="shared" si="14"/>
        <v>0</v>
      </c>
      <c r="Q10" s="759">
        <f t="shared" si="15"/>
        <v>0</v>
      </c>
      <c r="R10" s="759">
        <f t="shared" si="16"/>
        <v>0</v>
      </c>
      <c r="S10" s="761">
        <f t="shared" si="17"/>
        <v>0</v>
      </c>
      <c r="T10" s="762">
        <f t="shared" si="18"/>
        <v>1</v>
      </c>
      <c r="U10" s="763">
        <f>'t1'!M9</f>
        <v>1</v>
      </c>
      <c r="AA10" s="997"/>
      <c r="AB10" s="760"/>
      <c r="AC10" s="760"/>
      <c r="AD10" s="760">
        <v>1</v>
      </c>
      <c r="AE10" s="760"/>
      <c r="AF10" s="760"/>
      <c r="AG10" s="760"/>
      <c r="AH10" s="760"/>
      <c r="AI10" s="760"/>
      <c r="AJ10" s="760"/>
      <c r="AK10" s="760"/>
      <c r="AL10" s="760"/>
      <c r="AM10" s="760"/>
      <c r="AN10" s="760"/>
      <c r="AO10" s="1033"/>
      <c r="AP10" s="1034"/>
      <c r="AQ10" s="994">
        <f t="shared" si="19"/>
        <v>0</v>
      </c>
      <c r="AR10" s="762">
        <f t="shared" si="20"/>
        <v>1</v>
      </c>
      <c r="AT10" s="1023" t="str">
        <f>IF('t1'!AI9='1E'!AQ10,"OK","Errore")</f>
        <v>OK</v>
      </c>
      <c r="AU10" s="1024" t="str">
        <f>IF('t1'!AJ9='1E'!AR10,"OK","Errore")</f>
        <v>OK</v>
      </c>
    </row>
    <row r="11" spans="1:47" ht="13.5" customHeight="1" x14ac:dyDescent="0.25">
      <c r="A11" s="757" t="str">
        <f>'t1'!A10</f>
        <v>ASSISTENTE AREA II</v>
      </c>
      <c r="B11" s="758" t="str">
        <f>'t1'!B10</f>
        <v>012117</v>
      </c>
      <c r="C11" s="759">
        <f t="shared" si="1"/>
        <v>0</v>
      </c>
      <c r="D11" s="759">
        <f t="shared" si="2"/>
        <v>0</v>
      </c>
      <c r="E11" s="759">
        <f t="shared" si="3"/>
        <v>2</v>
      </c>
      <c r="F11" s="759">
        <f t="shared" si="4"/>
        <v>3</v>
      </c>
      <c r="G11" s="759">
        <f t="shared" si="5"/>
        <v>1</v>
      </c>
      <c r="H11" s="759">
        <f t="shared" si="6"/>
        <v>1</v>
      </c>
      <c r="I11" s="759">
        <f t="shared" si="7"/>
        <v>0</v>
      </c>
      <c r="J11" s="759">
        <f t="shared" si="8"/>
        <v>3</v>
      </c>
      <c r="K11" s="759">
        <f t="shared" si="9"/>
        <v>1</v>
      </c>
      <c r="L11" s="759">
        <f t="shared" si="10"/>
        <v>2</v>
      </c>
      <c r="M11" s="759">
        <f t="shared" si="11"/>
        <v>0</v>
      </c>
      <c r="N11" s="759">
        <f t="shared" si="12"/>
        <v>0</v>
      </c>
      <c r="O11" s="759">
        <f t="shared" si="13"/>
        <v>0</v>
      </c>
      <c r="P11" s="759">
        <f t="shared" si="14"/>
        <v>0</v>
      </c>
      <c r="Q11" s="759">
        <f t="shared" si="15"/>
        <v>0</v>
      </c>
      <c r="R11" s="759">
        <f t="shared" si="16"/>
        <v>0</v>
      </c>
      <c r="S11" s="761">
        <f t="shared" si="17"/>
        <v>4</v>
      </c>
      <c r="T11" s="762">
        <f t="shared" si="18"/>
        <v>9</v>
      </c>
      <c r="U11" s="763">
        <f>'t1'!M10</f>
        <v>13</v>
      </c>
      <c r="AA11" s="997"/>
      <c r="AB11" s="760"/>
      <c r="AC11" s="760">
        <v>2</v>
      </c>
      <c r="AD11" s="760">
        <v>3</v>
      </c>
      <c r="AE11" s="760">
        <v>1</v>
      </c>
      <c r="AF11" s="760">
        <v>1</v>
      </c>
      <c r="AG11" s="760"/>
      <c r="AH11" s="760">
        <v>3</v>
      </c>
      <c r="AI11" s="760">
        <v>1</v>
      </c>
      <c r="AJ11" s="760">
        <v>2</v>
      </c>
      <c r="AK11" s="760"/>
      <c r="AL11" s="760"/>
      <c r="AM11" s="760"/>
      <c r="AN11" s="760"/>
      <c r="AO11" s="1033"/>
      <c r="AP11" s="1034"/>
      <c r="AQ11" s="994">
        <f t="shared" si="19"/>
        <v>4</v>
      </c>
      <c r="AR11" s="762">
        <f t="shared" si="20"/>
        <v>9</v>
      </c>
      <c r="AT11" s="1023" t="str">
        <f>IF('t1'!AI10='1E'!AQ11,"OK","Errore")</f>
        <v>OK</v>
      </c>
      <c r="AU11" s="1024" t="str">
        <f>IF('t1'!AJ10='1E'!AR11,"OK","Errore")</f>
        <v>OK</v>
      </c>
    </row>
    <row r="12" spans="1:47" ht="13.5" customHeight="1" x14ac:dyDescent="0.25">
      <c r="A12" s="757" t="str">
        <f>'t1'!A11</f>
        <v>COADIUTORE AREA I</v>
      </c>
      <c r="B12" s="758" t="str">
        <f>'t1'!B11</f>
        <v>011121</v>
      </c>
      <c r="C12" s="759">
        <f t="shared" si="1"/>
        <v>0</v>
      </c>
      <c r="D12" s="759">
        <f t="shared" si="2"/>
        <v>1</v>
      </c>
      <c r="E12" s="759">
        <f t="shared" si="3"/>
        <v>0</v>
      </c>
      <c r="F12" s="759">
        <f t="shared" si="4"/>
        <v>2</v>
      </c>
      <c r="G12" s="759">
        <f t="shared" si="5"/>
        <v>0</v>
      </c>
      <c r="H12" s="759">
        <f t="shared" si="6"/>
        <v>2</v>
      </c>
      <c r="I12" s="759">
        <f t="shared" si="7"/>
        <v>0</v>
      </c>
      <c r="J12" s="759">
        <f t="shared" si="8"/>
        <v>4</v>
      </c>
      <c r="K12" s="759">
        <f t="shared" si="9"/>
        <v>1</v>
      </c>
      <c r="L12" s="759">
        <f t="shared" si="10"/>
        <v>3</v>
      </c>
      <c r="M12" s="759">
        <f t="shared" si="11"/>
        <v>0</v>
      </c>
      <c r="N12" s="759">
        <f t="shared" si="12"/>
        <v>0</v>
      </c>
      <c r="O12" s="759">
        <f t="shared" si="13"/>
        <v>0</v>
      </c>
      <c r="P12" s="759">
        <f t="shared" si="14"/>
        <v>0</v>
      </c>
      <c r="Q12" s="759">
        <f t="shared" si="15"/>
        <v>0</v>
      </c>
      <c r="R12" s="759">
        <f t="shared" si="16"/>
        <v>0</v>
      </c>
      <c r="S12" s="761">
        <f t="shared" si="17"/>
        <v>1</v>
      </c>
      <c r="T12" s="762">
        <f t="shared" si="18"/>
        <v>12</v>
      </c>
      <c r="U12" s="763">
        <f>'t1'!M11</f>
        <v>14</v>
      </c>
      <c r="AA12" s="997"/>
      <c r="AB12" s="760">
        <v>1</v>
      </c>
      <c r="AC12" s="760"/>
      <c r="AD12" s="760">
        <v>2</v>
      </c>
      <c r="AE12" s="760"/>
      <c r="AF12" s="760">
        <v>2</v>
      </c>
      <c r="AG12" s="760"/>
      <c r="AH12" s="760">
        <v>4</v>
      </c>
      <c r="AI12" s="760">
        <v>1</v>
      </c>
      <c r="AJ12" s="760">
        <v>3</v>
      </c>
      <c r="AK12" s="760"/>
      <c r="AL12" s="760"/>
      <c r="AM12" s="760"/>
      <c r="AN12" s="760"/>
      <c r="AO12" s="1033"/>
      <c r="AP12" s="1034"/>
      <c r="AQ12" s="994">
        <f t="shared" si="19"/>
        <v>1</v>
      </c>
      <c r="AR12" s="762">
        <f t="shared" si="20"/>
        <v>12</v>
      </c>
      <c r="AT12" s="1023" t="str">
        <f>IF('t1'!AI11='1E'!AQ12,"OK","Errore")</f>
        <v>OK</v>
      </c>
      <c r="AU12" s="1024" t="str">
        <f>IF('t1'!AJ11='1E'!AR12,"OK","Errore")</f>
        <v>Errore</v>
      </c>
    </row>
    <row r="13" spans="1:47" ht="13.5" customHeight="1" x14ac:dyDescent="0.25">
      <c r="A13" s="757" t="str">
        <f>'t1'!A12</f>
        <v>PROFESSORI DI PRIMA FASCIA TEMPO DET.ANNUALE</v>
      </c>
      <c r="B13" s="758" t="str">
        <f>'t1'!B12</f>
        <v>018PD1</v>
      </c>
      <c r="C13" s="759">
        <f t="shared" si="1"/>
        <v>14</v>
      </c>
      <c r="D13" s="759">
        <f t="shared" si="2"/>
        <v>7</v>
      </c>
      <c r="E13" s="759">
        <f t="shared" si="3"/>
        <v>0</v>
      </c>
      <c r="F13" s="759">
        <f t="shared" si="4"/>
        <v>0</v>
      </c>
      <c r="G13" s="759">
        <f t="shared" si="5"/>
        <v>0</v>
      </c>
      <c r="H13" s="759">
        <f t="shared" si="6"/>
        <v>0</v>
      </c>
      <c r="I13" s="759">
        <f t="shared" si="7"/>
        <v>0</v>
      </c>
      <c r="J13" s="759">
        <f t="shared" si="8"/>
        <v>0</v>
      </c>
      <c r="K13" s="759">
        <f t="shared" si="9"/>
        <v>0</v>
      </c>
      <c r="L13" s="759">
        <f t="shared" si="10"/>
        <v>0</v>
      </c>
      <c r="M13" s="759">
        <f t="shared" si="11"/>
        <v>0</v>
      </c>
      <c r="N13" s="759">
        <f t="shared" si="12"/>
        <v>0</v>
      </c>
      <c r="O13" s="759">
        <f t="shared" si="13"/>
        <v>0</v>
      </c>
      <c r="P13" s="759">
        <f t="shared" si="14"/>
        <v>0</v>
      </c>
      <c r="Q13" s="759">
        <f t="shared" si="15"/>
        <v>0</v>
      </c>
      <c r="R13" s="759">
        <f t="shared" si="16"/>
        <v>0</v>
      </c>
      <c r="S13" s="761">
        <f t="shared" si="17"/>
        <v>14</v>
      </c>
      <c r="T13" s="762">
        <f t="shared" si="18"/>
        <v>7</v>
      </c>
      <c r="U13" s="763">
        <f>'t1'!M12</f>
        <v>21</v>
      </c>
      <c r="AA13" s="997">
        <v>14</v>
      </c>
      <c r="AB13" s="760">
        <v>7</v>
      </c>
      <c r="AC13" s="1032"/>
      <c r="AD13" s="1032"/>
      <c r="AE13" s="1032"/>
      <c r="AF13" s="1032"/>
      <c r="AG13" s="1032"/>
      <c r="AH13" s="1032"/>
      <c r="AI13" s="1032"/>
      <c r="AJ13" s="1032"/>
      <c r="AK13" s="1032"/>
      <c r="AL13" s="1032"/>
      <c r="AM13" s="1032"/>
      <c r="AN13" s="1032"/>
      <c r="AO13" s="1033"/>
      <c r="AP13" s="1034"/>
      <c r="AQ13" s="994">
        <f t="shared" si="19"/>
        <v>14</v>
      </c>
      <c r="AR13" s="762">
        <f t="shared" si="20"/>
        <v>7</v>
      </c>
      <c r="AT13" s="1023" t="str">
        <f>IF('t1'!AI12='1E'!AQ13,"OK","Errore")</f>
        <v>OK</v>
      </c>
      <c r="AU13" s="1024" t="str">
        <f>IF('t1'!AJ12='1E'!AR13,"OK","Errore")</f>
        <v>OK</v>
      </c>
    </row>
    <row r="14" spans="1:47" ht="13.5" customHeight="1" x14ac:dyDescent="0.25">
      <c r="A14" s="757" t="str">
        <f>'t1'!A13</f>
        <v>DIRETTORE AMMINISTRATIVO TEMPO DET.ANNUALE (EP2)</v>
      </c>
      <c r="B14" s="758" t="str">
        <f>'t1'!B13</f>
        <v>013EP2</v>
      </c>
      <c r="C14" s="759">
        <f t="shared" si="1"/>
        <v>1</v>
      </c>
      <c r="D14" s="759">
        <f t="shared" si="2"/>
        <v>0</v>
      </c>
      <c r="E14" s="759">
        <f t="shared" si="3"/>
        <v>0</v>
      </c>
      <c r="F14" s="759">
        <f t="shared" si="4"/>
        <v>0</v>
      </c>
      <c r="G14" s="759">
        <f t="shared" si="5"/>
        <v>0</v>
      </c>
      <c r="H14" s="759">
        <f t="shared" si="6"/>
        <v>0</v>
      </c>
      <c r="I14" s="759">
        <f t="shared" si="7"/>
        <v>0</v>
      </c>
      <c r="J14" s="759">
        <f t="shared" si="8"/>
        <v>0</v>
      </c>
      <c r="K14" s="759">
        <f t="shared" si="9"/>
        <v>0</v>
      </c>
      <c r="L14" s="759">
        <f t="shared" si="10"/>
        <v>0</v>
      </c>
      <c r="M14" s="759">
        <f t="shared" si="11"/>
        <v>0</v>
      </c>
      <c r="N14" s="759">
        <f t="shared" si="12"/>
        <v>0</v>
      </c>
      <c r="O14" s="759">
        <f t="shared" si="13"/>
        <v>0</v>
      </c>
      <c r="P14" s="759">
        <f t="shared" si="14"/>
        <v>0</v>
      </c>
      <c r="Q14" s="759">
        <f t="shared" si="15"/>
        <v>0</v>
      </c>
      <c r="R14" s="759">
        <f t="shared" si="16"/>
        <v>0</v>
      </c>
      <c r="S14" s="761">
        <f t="shared" si="17"/>
        <v>1</v>
      </c>
      <c r="T14" s="762">
        <f t="shared" si="18"/>
        <v>0</v>
      </c>
      <c r="U14" s="763">
        <f>'t1'!M13</f>
        <v>1</v>
      </c>
      <c r="AA14" s="997">
        <v>1</v>
      </c>
      <c r="AB14" s="760"/>
      <c r="AC14" s="1032"/>
      <c r="AD14" s="1032"/>
      <c r="AE14" s="1032"/>
      <c r="AF14" s="1032"/>
      <c r="AG14" s="1032"/>
      <c r="AH14" s="1032"/>
      <c r="AI14" s="1032"/>
      <c r="AJ14" s="1032"/>
      <c r="AK14" s="1032"/>
      <c r="AL14" s="1032"/>
      <c r="AM14" s="1032"/>
      <c r="AN14" s="1032"/>
      <c r="AO14" s="1033"/>
      <c r="AP14" s="1034"/>
      <c r="AQ14" s="994">
        <f t="shared" si="19"/>
        <v>1</v>
      </c>
      <c r="AR14" s="762">
        <f t="shared" si="20"/>
        <v>0</v>
      </c>
      <c r="AT14" s="1023" t="str">
        <f>IF('t1'!AI13='1E'!AQ14,"OK","Errore")</f>
        <v>OK</v>
      </c>
      <c r="AU14" s="1024" t="str">
        <f>IF('t1'!AJ13='1E'!AR14,"OK","Errore")</f>
        <v>OK</v>
      </c>
    </row>
    <row r="15" spans="1:47" ht="13.5" customHeight="1" x14ac:dyDescent="0.25">
      <c r="A15" s="757" t="str">
        <f>'t1'!A14</f>
        <v>DIRETTORE DELL UFFICIO DI RAGIONERIA TEMPO DET.ANNUALE (EP1)</v>
      </c>
      <c r="B15" s="758" t="str">
        <f>'t1'!B14</f>
        <v>013160</v>
      </c>
      <c r="C15" s="759">
        <f t="shared" si="1"/>
        <v>0</v>
      </c>
      <c r="D15" s="759">
        <f t="shared" si="2"/>
        <v>1</v>
      </c>
      <c r="E15" s="759">
        <f t="shared" si="3"/>
        <v>0</v>
      </c>
      <c r="F15" s="759">
        <f t="shared" si="4"/>
        <v>0</v>
      </c>
      <c r="G15" s="759">
        <f t="shared" si="5"/>
        <v>0</v>
      </c>
      <c r="H15" s="759">
        <f t="shared" si="6"/>
        <v>0</v>
      </c>
      <c r="I15" s="759">
        <f t="shared" si="7"/>
        <v>0</v>
      </c>
      <c r="J15" s="759">
        <f t="shared" si="8"/>
        <v>0</v>
      </c>
      <c r="K15" s="759">
        <f t="shared" si="9"/>
        <v>0</v>
      </c>
      <c r="L15" s="759">
        <f t="shared" si="10"/>
        <v>0</v>
      </c>
      <c r="M15" s="759">
        <f t="shared" si="11"/>
        <v>0</v>
      </c>
      <c r="N15" s="759">
        <f t="shared" si="12"/>
        <v>0</v>
      </c>
      <c r="O15" s="759">
        <f t="shared" si="13"/>
        <v>0</v>
      </c>
      <c r="P15" s="759">
        <f t="shared" si="14"/>
        <v>0</v>
      </c>
      <c r="Q15" s="759">
        <f t="shared" si="15"/>
        <v>0</v>
      </c>
      <c r="R15" s="759">
        <f t="shared" si="16"/>
        <v>0</v>
      </c>
      <c r="S15" s="761">
        <f t="shared" si="17"/>
        <v>0</v>
      </c>
      <c r="T15" s="762">
        <f t="shared" si="18"/>
        <v>1</v>
      </c>
      <c r="U15" s="763">
        <f>'t1'!M14</f>
        <v>1</v>
      </c>
      <c r="AA15" s="997"/>
      <c r="AB15" s="760">
        <v>1</v>
      </c>
      <c r="AC15" s="1032"/>
      <c r="AD15" s="1032"/>
      <c r="AE15" s="1032"/>
      <c r="AF15" s="1032"/>
      <c r="AG15" s="1032"/>
      <c r="AH15" s="1032"/>
      <c r="AI15" s="1032"/>
      <c r="AJ15" s="1032"/>
      <c r="AK15" s="1032"/>
      <c r="AL15" s="1032"/>
      <c r="AM15" s="1032"/>
      <c r="AN15" s="1032"/>
      <c r="AO15" s="1033"/>
      <c r="AP15" s="1034"/>
      <c r="AQ15" s="994">
        <f t="shared" si="19"/>
        <v>0</v>
      </c>
      <c r="AR15" s="762">
        <f t="shared" si="20"/>
        <v>1</v>
      </c>
      <c r="AT15" s="1023" t="str">
        <f>IF('t1'!AI14='1E'!AQ15,"OK","Errore")</f>
        <v>OK</v>
      </c>
      <c r="AU15" s="1024" t="str">
        <f>IF('t1'!AJ14='1E'!AR15,"OK","Errore")</f>
        <v>OK</v>
      </c>
    </row>
    <row r="16" spans="1:47" ht="13.5" customHeight="1" x14ac:dyDescent="0.25">
      <c r="A16" s="757" t="str">
        <f>'t1'!A15</f>
        <v>COLLABORATORE AREA III TEMPO DET. ANNUALE</v>
      </c>
      <c r="B16" s="758" t="str">
        <f>'t1'!B15</f>
        <v>013CDE</v>
      </c>
      <c r="C16" s="759">
        <f t="shared" si="1"/>
        <v>0</v>
      </c>
      <c r="D16" s="759">
        <f t="shared" si="2"/>
        <v>0</v>
      </c>
      <c r="E16" s="759">
        <f t="shared" si="3"/>
        <v>0</v>
      </c>
      <c r="F16" s="759">
        <f t="shared" si="4"/>
        <v>0</v>
      </c>
      <c r="G16" s="759">
        <f t="shared" si="5"/>
        <v>0</v>
      </c>
      <c r="H16" s="759">
        <f t="shared" si="6"/>
        <v>0</v>
      </c>
      <c r="I16" s="759">
        <f t="shared" si="7"/>
        <v>0</v>
      </c>
      <c r="J16" s="759">
        <f t="shared" si="8"/>
        <v>0</v>
      </c>
      <c r="K16" s="759">
        <f t="shared" si="9"/>
        <v>0</v>
      </c>
      <c r="L16" s="759">
        <f t="shared" si="10"/>
        <v>0</v>
      </c>
      <c r="M16" s="759">
        <f t="shared" si="11"/>
        <v>0</v>
      </c>
      <c r="N16" s="759">
        <f t="shared" si="12"/>
        <v>0</v>
      </c>
      <c r="O16" s="759">
        <f t="shared" si="13"/>
        <v>0</v>
      </c>
      <c r="P16" s="759">
        <f t="shared" si="14"/>
        <v>0</v>
      </c>
      <c r="Q16" s="759">
        <f t="shared" si="15"/>
        <v>0</v>
      </c>
      <c r="R16" s="759">
        <f t="shared" si="16"/>
        <v>0</v>
      </c>
      <c r="S16" s="761">
        <f t="shared" si="17"/>
        <v>0</v>
      </c>
      <c r="T16" s="762">
        <f t="shared" si="18"/>
        <v>0</v>
      </c>
      <c r="U16" s="763">
        <f>'t1'!M15</f>
        <v>0</v>
      </c>
      <c r="AA16" s="997"/>
      <c r="AB16" s="760"/>
      <c r="AC16" s="1032"/>
      <c r="AD16" s="1032"/>
      <c r="AE16" s="1032"/>
      <c r="AF16" s="1032"/>
      <c r="AG16" s="1032"/>
      <c r="AH16" s="1032"/>
      <c r="AI16" s="1032"/>
      <c r="AJ16" s="1032"/>
      <c r="AK16" s="1032"/>
      <c r="AL16" s="1032"/>
      <c r="AM16" s="1032"/>
      <c r="AN16" s="1032"/>
      <c r="AO16" s="1033"/>
      <c r="AP16" s="1034"/>
      <c r="AQ16" s="994">
        <f t="shared" si="19"/>
        <v>0</v>
      </c>
      <c r="AR16" s="762">
        <f t="shared" si="20"/>
        <v>0</v>
      </c>
      <c r="AT16" s="1023" t="str">
        <f>IF('t1'!AI15='1E'!AQ16,"OK","Errore")</f>
        <v>OK</v>
      </c>
      <c r="AU16" s="1024" t="str">
        <f>IF('t1'!AJ15='1E'!AR16,"OK","Errore")</f>
        <v>OK</v>
      </c>
    </row>
    <row r="17" spans="1:47" ht="13.5" customHeight="1" x14ac:dyDescent="0.25">
      <c r="A17" s="757" t="str">
        <f>'t1'!A16</f>
        <v>ASSISTENTE AREA II TEMPO DET. ANNUALE</v>
      </c>
      <c r="B17" s="758" t="str">
        <f>'t1'!B16</f>
        <v>012118</v>
      </c>
      <c r="C17" s="759">
        <f t="shared" si="1"/>
        <v>0</v>
      </c>
      <c r="D17" s="759">
        <f t="shared" si="2"/>
        <v>6</v>
      </c>
      <c r="E17" s="759">
        <f t="shared" si="3"/>
        <v>0</v>
      </c>
      <c r="F17" s="759">
        <f t="shared" si="4"/>
        <v>0</v>
      </c>
      <c r="G17" s="759">
        <f t="shared" si="5"/>
        <v>0</v>
      </c>
      <c r="H17" s="759">
        <f t="shared" si="6"/>
        <v>0</v>
      </c>
      <c r="I17" s="759">
        <f t="shared" si="7"/>
        <v>0</v>
      </c>
      <c r="J17" s="759">
        <f t="shared" si="8"/>
        <v>0</v>
      </c>
      <c r="K17" s="759">
        <f t="shared" si="9"/>
        <v>0</v>
      </c>
      <c r="L17" s="759">
        <f t="shared" si="10"/>
        <v>0</v>
      </c>
      <c r="M17" s="759">
        <f t="shared" si="11"/>
        <v>0</v>
      </c>
      <c r="N17" s="759">
        <f t="shared" si="12"/>
        <v>0</v>
      </c>
      <c r="O17" s="759">
        <f t="shared" si="13"/>
        <v>0</v>
      </c>
      <c r="P17" s="759">
        <f t="shared" si="14"/>
        <v>0</v>
      </c>
      <c r="Q17" s="759">
        <f t="shared" si="15"/>
        <v>0</v>
      </c>
      <c r="R17" s="759">
        <f t="shared" si="16"/>
        <v>0</v>
      </c>
      <c r="S17" s="761">
        <f t="shared" si="17"/>
        <v>0</v>
      </c>
      <c r="T17" s="762">
        <f t="shared" si="18"/>
        <v>6</v>
      </c>
      <c r="U17" s="763">
        <f>'t1'!M16</f>
        <v>6</v>
      </c>
      <c r="AA17" s="997"/>
      <c r="AB17" s="760">
        <v>6</v>
      </c>
      <c r="AC17" s="1032"/>
      <c r="AD17" s="1032"/>
      <c r="AE17" s="1032"/>
      <c r="AF17" s="1032"/>
      <c r="AG17" s="1032"/>
      <c r="AH17" s="1032"/>
      <c r="AI17" s="1032"/>
      <c r="AJ17" s="1032"/>
      <c r="AK17" s="1032"/>
      <c r="AL17" s="1032"/>
      <c r="AM17" s="1032"/>
      <c r="AN17" s="1032"/>
      <c r="AO17" s="1033"/>
      <c r="AP17" s="1034"/>
      <c r="AQ17" s="994">
        <f t="shared" si="19"/>
        <v>0</v>
      </c>
      <c r="AR17" s="762">
        <f t="shared" si="20"/>
        <v>6</v>
      </c>
      <c r="AT17" s="1023" t="str">
        <f>IF('t1'!AI16='1E'!AQ17,"OK","Errore")</f>
        <v>OK</v>
      </c>
      <c r="AU17" s="1024" t="str">
        <f>IF('t1'!AJ16='1E'!AR17,"OK","Errore")</f>
        <v>OK</v>
      </c>
    </row>
    <row r="18" spans="1:47" ht="13.5" customHeight="1" thickBot="1" x14ac:dyDescent="0.3">
      <c r="A18" s="757" t="str">
        <f>'t1'!A17</f>
        <v>COADIUTORE AREA I TEMPO DET.ANNUALE</v>
      </c>
      <c r="B18" s="758" t="str">
        <f>'t1'!B17</f>
        <v>011124</v>
      </c>
      <c r="C18" s="759">
        <f t="shared" si="1"/>
        <v>1</v>
      </c>
      <c r="D18" s="759">
        <f t="shared" si="2"/>
        <v>4</v>
      </c>
      <c r="E18" s="759">
        <f t="shared" si="3"/>
        <v>0</v>
      </c>
      <c r="F18" s="759">
        <f t="shared" si="4"/>
        <v>0</v>
      </c>
      <c r="G18" s="759">
        <f t="shared" si="5"/>
        <v>0</v>
      </c>
      <c r="H18" s="759">
        <f t="shared" si="6"/>
        <v>0</v>
      </c>
      <c r="I18" s="759">
        <f t="shared" si="7"/>
        <v>0</v>
      </c>
      <c r="J18" s="759">
        <f t="shared" si="8"/>
        <v>0</v>
      </c>
      <c r="K18" s="759">
        <f t="shared" si="9"/>
        <v>0</v>
      </c>
      <c r="L18" s="759">
        <f t="shared" si="10"/>
        <v>0</v>
      </c>
      <c r="M18" s="759">
        <f t="shared" si="11"/>
        <v>0</v>
      </c>
      <c r="N18" s="759">
        <f t="shared" si="12"/>
        <v>0</v>
      </c>
      <c r="O18" s="759">
        <f t="shared" si="13"/>
        <v>0</v>
      </c>
      <c r="P18" s="759">
        <f t="shared" si="14"/>
        <v>0</v>
      </c>
      <c r="Q18" s="759">
        <f t="shared" si="15"/>
        <v>0</v>
      </c>
      <c r="R18" s="759">
        <f t="shared" si="16"/>
        <v>0</v>
      </c>
      <c r="S18" s="761">
        <f t="shared" si="17"/>
        <v>1</v>
      </c>
      <c r="T18" s="762">
        <f t="shared" si="18"/>
        <v>4</v>
      </c>
      <c r="U18" s="763">
        <f>'t1'!M17</f>
        <v>5</v>
      </c>
      <c r="AA18" s="997">
        <v>1</v>
      </c>
      <c r="AB18" s="760">
        <v>4</v>
      </c>
      <c r="AC18" s="1032"/>
      <c r="AD18" s="1032"/>
      <c r="AE18" s="1032"/>
      <c r="AF18" s="1032"/>
      <c r="AG18" s="1032"/>
      <c r="AH18" s="1032"/>
      <c r="AI18" s="1032"/>
      <c r="AJ18" s="1032"/>
      <c r="AK18" s="1032"/>
      <c r="AL18" s="1032"/>
      <c r="AM18" s="1032"/>
      <c r="AN18" s="1032"/>
      <c r="AO18" s="1033"/>
      <c r="AP18" s="1034"/>
      <c r="AQ18" s="994">
        <f t="shared" si="19"/>
        <v>1</v>
      </c>
      <c r="AR18" s="762">
        <f t="shared" si="20"/>
        <v>4</v>
      </c>
      <c r="AT18" s="1025" t="str">
        <f>IF('t1'!AI17='1E'!AQ18,"OK","Errore")</f>
        <v>OK</v>
      </c>
      <c r="AU18" s="1026" t="str">
        <f>IF('t1'!AJ17='1E'!AR18,"OK","Errore")</f>
        <v>OK</v>
      </c>
    </row>
    <row r="19" spans="1:47" s="768" customFormat="1" ht="15.75" customHeight="1" thickTop="1" thickBot="1" x14ac:dyDescent="0.3">
      <c r="A19" s="764" t="s">
        <v>55</v>
      </c>
      <c r="B19" s="765"/>
      <c r="C19" s="766">
        <f t="shared" ref="C19:T19" si="21">SUM(C7:C18)</f>
        <v>26</v>
      </c>
      <c r="D19" s="766">
        <f t="shared" si="21"/>
        <v>20</v>
      </c>
      <c r="E19" s="766">
        <f t="shared" si="21"/>
        <v>9</v>
      </c>
      <c r="F19" s="766">
        <f t="shared" si="21"/>
        <v>12</v>
      </c>
      <c r="G19" s="766">
        <f t="shared" si="21"/>
        <v>5</v>
      </c>
      <c r="H19" s="766">
        <f t="shared" si="21"/>
        <v>4</v>
      </c>
      <c r="I19" s="766">
        <f t="shared" si="21"/>
        <v>5</v>
      </c>
      <c r="J19" s="766">
        <f t="shared" si="21"/>
        <v>12</v>
      </c>
      <c r="K19" s="766">
        <f t="shared" si="21"/>
        <v>18</v>
      </c>
      <c r="L19" s="766">
        <f t="shared" si="21"/>
        <v>9</v>
      </c>
      <c r="M19" s="766">
        <f t="shared" si="21"/>
        <v>12</v>
      </c>
      <c r="N19" s="766">
        <f t="shared" si="21"/>
        <v>1</v>
      </c>
      <c r="O19" s="766">
        <f t="shared" si="21"/>
        <v>14</v>
      </c>
      <c r="P19" s="766">
        <f t="shared" si="21"/>
        <v>3</v>
      </c>
      <c r="Q19" s="766"/>
      <c r="R19" s="766"/>
      <c r="S19" s="766">
        <f t="shared" si="21"/>
        <v>89</v>
      </c>
      <c r="T19" s="767">
        <f t="shared" si="21"/>
        <v>61</v>
      </c>
      <c r="AA19" s="995">
        <f t="shared" ref="AA19:AP19" si="22">SUM(AA7:AA18)</f>
        <v>26</v>
      </c>
      <c r="AB19" s="766">
        <f t="shared" si="22"/>
        <v>20</v>
      </c>
      <c r="AC19" s="766">
        <f t="shared" si="22"/>
        <v>9</v>
      </c>
      <c r="AD19" s="766">
        <f t="shared" si="22"/>
        <v>12</v>
      </c>
      <c r="AE19" s="766">
        <f t="shared" si="22"/>
        <v>5</v>
      </c>
      <c r="AF19" s="766">
        <f t="shared" si="22"/>
        <v>4</v>
      </c>
      <c r="AG19" s="766">
        <f t="shared" si="22"/>
        <v>5</v>
      </c>
      <c r="AH19" s="766">
        <f t="shared" si="22"/>
        <v>12</v>
      </c>
      <c r="AI19" s="766">
        <f t="shared" si="22"/>
        <v>18</v>
      </c>
      <c r="AJ19" s="766">
        <f t="shared" si="22"/>
        <v>9</v>
      </c>
      <c r="AK19" s="766">
        <f t="shared" si="22"/>
        <v>12</v>
      </c>
      <c r="AL19" s="766">
        <f t="shared" si="22"/>
        <v>1</v>
      </c>
      <c r="AM19" s="766">
        <f t="shared" si="22"/>
        <v>14</v>
      </c>
      <c r="AN19" s="766">
        <f t="shared" si="22"/>
        <v>3</v>
      </c>
      <c r="AO19" s="766">
        <f t="shared" si="22"/>
        <v>0</v>
      </c>
      <c r="AP19" s="767">
        <f t="shared" si="22"/>
        <v>0</v>
      </c>
      <c r="AQ19" s="995">
        <f t="shared" ref="AQ19:AR19" si="23">SUM(AQ7:AQ18)</f>
        <v>89</v>
      </c>
      <c r="AR19" s="767">
        <f t="shared" si="23"/>
        <v>61</v>
      </c>
      <c r="AT19" s="1019">
        <f>'t1'!K18</f>
        <v>89</v>
      </c>
      <c r="AU19" s="1020">
        <f>'t1'!L18</f>
        <v>62</v>
      </c>
    </row>
    <row r="20" spans="1:47" x14ac:dyDescent="0.25">
      <c r="A20" s="769"/>
      <c r="B20" s="770"/>
      <c r="C20" s="770"/>
      <c r="AA20" s="770"/>
    </row>
    <row r="27" spans="1:47" x14ac:dyDescent="0.25">
      <c r="AT27" s="768"/>
      <c r="AU27" s="768"/>
    </row>
  </sheetData>
  <sheetProtection algorithmName="SHA-512" hashValue="93LqYr5PXukeT0KD8K86UY1kxpOqPsKPmlpwNRhhW1IhX2pD580bBUMseIcqSyi5JnG2EQgj863L5GFNshysPw==" saltValue="5e6Eomt4go1w1EEeXBAgZQ==" spinCount="100000" sheet="1" formatColumns="0" selectLockedCells="1"/>
  <protectedRanges>
    <protectedRange sqref="AA7:AP18 C7:R18" name="Intervallo1"/>
  </protectedRanges>
  <mergeCells count="24">
    <mergeCell ref="AT5:AU5"/>
    <mergeCell ref="O5:P5"/>
    <mergeCell ref="S5:T5"/>
    <mergeCell ref="A1:J1"/>
    <mergeCell ref="A4:A6"/>
    <mergeCell ref="B4:B6"/>
    <mergeCell ref="C4:T4"/>
    <mergeCell ref="C5:D5"/>
    <mergeCell ref="Q5:R5"/>
    <mergeCell ref="E5:F5"/>
    <mergeCell ref="G5:H5"/>
    <mergeCell ref="I5:J5"/>
    <mergeCell ref="K5:L5"/>
    <mergeCell ref="M5:N5"/>
    <mergeCell ref="AA4:AR4"/>
    <mergeCell ref="AA5:AB5"/>
    <mergeCell ref="AM5:AN5"/>
    <mergeCell ref="AO5:AP5"/>
    <mergeCell ref="AQ5:AR5"/>
    <mergeCell ref="AC5:AD5"/>
    <mergeCell ref="AE5:AF5"/>
    <mergeCell ref="AG5:AH5"/>
    <mergeCell ref="AI5:AJ5"/>
    <mergeCell ref="AK5:AL5"/>
  </mergeCells>
  <conditionalFormatting sqref="A7:T18">
    <cfRule type="expression" dxfId="30" priority="7" stopIfTrue="1">
      <formula>$U7&gt;0</formula>
    </cfRule>
  </conditionalFormatting>
  <conditionalFormatting sqref="AA7:AR18">
    <cfRule type="expression" dxfId="29" priority="3" stopIfTrue="1">
      <formula>$U7&gt;0</formula>
    </cfRule>
  </conditionalFormatting>
  <conditionalFormatting sqref="AT7:AU18">
    <cfRule type="containsText" dxfId="28" priority="1" operator="containsText" text="Errore">
      <formula>NOT(ISERROR(SEARCH("Errore",AT7)))</formula>
    </cfRule>
    <cfRule type="expression" dxfId="27" priority="2" stopIfTrue="1">
      <formula>$M7&gt;0</formula>
    </cfRule>
  </conditionalFormatting>
  <printOptions horizontalCentered="1" verticalCentered="1"/>
  <pageMargins left="0.23622047244094491" right="0.23622047244094491" top="0.23622047244094491" bottom="0.23622047244094491" header="0.15748031496062992" footer="0.15748031496062992"/>
  <pageSetup paperSize="9" scale="70" orientation="landscape" verticalDpi="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0"/>
  <dimension ref="A1:K17"/>
  <sheetViews>
    <sheetView showGridLines="0" workbookViewId="0">
      <pane ySplit="5" topLeftCell="A6" activePane="bottomLeft" state="frozen"/>
      <selection activeCell="E11" sqref="E11"/>
      <selection pane="bottomLeft" activeCell="B5" sqref="B5"/>
    </sheetView>
  </sheetViews>
  <sheetFormatPr defaultRowHeight="10.199999999999999" x14ac:dyDescent="0.2"/>
  <cols>
    <col min="1" max="1" width="57.7109375" style="3" customWidth="1"/>
    <col min="2" max="2" width="11.28515625" style="2" customWidth="1"/>
    <col min="3" max="3" width="21.28515625" style="346" customWidth="1"/>
    <col min="4" max="5" width="21.28515625" style="2" customWidth="1"/>
    <col min="6" max="6" width="21.28515625" style="313" customWidth="1"/>
    <col min="7" max="7" width="21.28515625" style="2" customWidth="1"/>
    <col min="8" max="8" width="9.28515625" style="91" customWidth="1"/>
  </cols>
  <sheetData>
    <row r="1" spans="1:11" s="3" customFormat="1" ht="43.5" customHeight="1" x14ac:dyDescent="0.2">
      <c r="A1" s="1097" t="str">
        <f>'t1'!A1</f>
        <v>AFAM - anno 2023</v>
      </c>
      <c r="B1" s="1097"/>
      <c r="C1" s="1097"/>
      <c r="D1" s="1097"/>
      <c r="E1" s="1097"/>
      <c r="F1" s="1097"/>
      <c r="G1" s="1097"/>
      <c r="K1"/>
    </row>
    <row r="2" spans="1:11" s="3" customFormat="1" ht="12.75" customHeight="1" x14ac:dyDescent="0.2">
      <c r="C2" s="343"/>
      <c r="D2" s="1207"/>
      <c r="E2" s="1207"/>
      <c r="F2" s="1207"/>
      <c r="G2" s="1207"/>
      <c r="H2" s="272"/>
      <c r="K2"/>
    </row>
    <row r="3" spans="1:11" s="3" customFormat="1" ht="21" customHeight="1" x14ac:dyDescent="0.25">
      <c r="A3" s="161" t="s">
        <v>253</v>
      </c>
      <c r="B3" s="2"/>
      <c r="C3" s="343"/>
      <c r="F3" s="314"/>
      <c r="G3" s="2"/>
    </row>
    <row r="4" spans="1:11" ht="53.25" customHeight="1" x14ac:dyDescent="0.2">
      <c r="A4" s="149" t="s">
        <v>195</v>
      </c>
      <c r="B4" s="150" t="s">
        <v>158</v>
      </c>
      <c r="C4" s="344" t="str">
        <f>"Presenti 31.12."&amp;'t1'!L1&amp;" (Tab T1) uomini+donne della tabella T1"</f>
        <v>Presenti 31.12.2023 (Tab T1) uomini+donne della tabella T1</v>
      </c>
      <c r="D4" s="150" t="s">
        <v>248</v>
      </c>
      <c r="E4" s="150" t="s">
        <v>251</v>
      </c>
      <c r="F4" s="347" t="s">
        <v>252</v>
      </c>
      <c r="G4" s="150" t="s">
        <v>254</v>
      </c>
    </row>
    <row r="5" spans="1:11" s="164" customFormat="1" x14ac:dyDescent="0.2">
      <c r="A5" s="148"/>
      <c r="B5" s="159"/>
      <c r="C5" s="345" t="s">
        <v>160</v>
      </c>
      <c r="D5" s="159" t="s">
        <v>161</v>
      </c>
      <c r="E5" s="159" t="s">
        <v>162</v>
      </c>
      <c r="F5" s="348" t="s">
        <v>163</v>
      </c>
      <c r="G5" s="159"/>
      <c r="H5" s="91"/>
    </row>
    <row r="6" spans="1:11" ht="13.2" x14ac:dyDescent="0.25">
      <c r="A6" s="109" t="str">
        <f>'t1'!A6</f>
        <v>PROFESSORI DI PRIMA FASCIA</v>
      </c>
      <c r="B6" s="88" t="str">
        <f>'t1'!B6</f>
        <v>018P01</v>
      </c>
      <c r="C6" s="577">
        <f>('t1'!K6+'t1'!L6)</f>
        <v>89</v>
      </c>
      <c r="D6" s="296">
        <f>'t5'!U7+'t5'!V7</f>
        <v>9</v>
      </c>
      <c r="E6" s="296">
        <f>'t4'!O15</f>
        <v>0</v>
      </c>
      <c r="F6" s="297">
        <f>'t12'!C6</f>
        <v>1103</v>
      </c>
      <c r="G6" s="315" t="str">
        <f>IF(OR(AND(NOT(C6),NOT(D6),NOT(E6),NOT(F6)),AND((OR(C6,D6,E6)),F6)),"OK","ERRORE")</f>
        <v>OK</v>
      </c>
    </row>
    <row r="7" spans="1:11" ht="13.2" x14ac:dyDescent="0.25">
      <c r="A7" s="109" t="str">
        <f>'t1'!A7</f>
        <v>DIRETTORE AMMINISTRATIVO EP2</v>
      </c>
      <c r="B7" s="88" t="str">
        <f>'t1'!B7</f>
        <v>013504</v>
      </c>
      <c r="C7" s="577">
        <f>('t1'!K7+'t1'!L7)</f>
        <v>0</v>
      </c>
      <c r="D7" s="296">
        <f>'t5'!U8+'t5'!V8</f>
        <v>0</v>
      </c>
      <c r="E7" s="296">
        <f>'t4'!O16</f>
        <v>0</v>
      </c>
      <c r="F7" s="297">
        <f>'t12'!C7</f>
        <v>0</v>
      </c>
      <c r="G7" s="315" t="str">
        <f t="shared" ref="G7:G17" si="0">IF(OR(AND(NOT(C7),NOT(D7),NOT(E7),NOT(F7)),AND((OR(C7,D7,E7)),F7)),"OK","ERRORE")</f>
        <v>OK</v>
      </c>
    </row>
    <row r="8" spans="1:11" ht="13.2" x14ac:dyDescent="0.25">
      <c r="A8" s="109" t="str">
        <f>'t1'!A8</f>
        <v>DIRETTORE DELL UFFICIO DI RAGIONERIA (EP1)</v>
      </c>
      <c r="B8" s="88" t="str">
        <f>'t1'!B8</f>
        <v>013159</v>
      </c>
      <c r="C8" s="577">
        <f>('t1'!K8+'t1'!L8)</f>
        <v>0</v>
      </c>
      <c r="D8" s="296">
        <f>'t5'!U9+'t5'!V9</f>
        <v>0</v>
      </c>
      <c r="E8" s="296">
        <f>'t4'!O17</f>
        <v>0</v>
      </c>
      <c r="F8" s="297">
        <f>'t12'!C8</f>
        <v>0</v>
      </c>
      <c r="G8" s="315" t="str">
        <f t="shared" si="0"/>
        <v>OK</v>
      </c>
    </row>
    <row r="9" spans="1:11" ht="13.2" x14ac:dyDescent="0.25">
      <c r="A9" s="109" t="str">
        <f>'t1'!A9</f>
        <v>COLLABORATORE AREA III</v>
      </c>
      <c r="B9" s="88" t="str">
        <f>'t1'!B9</f>
        <v>013CTE</v>
      </c>
      <c r="C9" s="577">
        <f>('t1'!K9+'t1'!L9)</f>
        <v>1</v>
      </c>
      <c r="D9" s="296">
        <f>'t5'!U10+'t5'!V10</f>
        <v>0</v>
      </c>
      <c r="E9" s="296">
        <f>'t4'!O18</f>
        <v>0</v>
      </c>
      <c r="F9" s="297">
        <f>'t12'!C9</f>
        <v>12</v>
      </c>
      <c r="G9" s="315" t="str">
        <f t="shared" si="0"/>
        <v>OK</v>
      </c>
    </row>
    <row r="10" spans="1:11" ht="13.2" x14ac:dyDescent="0.25">
      <c r="A10" s="109" t="str">
        <f>'t1'!A10</f>
        <v>ASSISTENTE AREA II</v>
      </c>
      <c r="B10" s="88" t="str">
        <f>'t1'!B10</f>
        <v>012117</v>
      </c>
      <c r="C10" s="577">
        <f>('t1'!K10+'t1'!L10)</f>
        <v>13</v>
      </c>
      <c r="D10" s="296">
        <f>'t5'!U11+'t5'!V11</f>
        <v>0</v>
      </c>
      <c r="E10" s="296">
        <f>'t4'!O19</f>
        <v>0</v>
      </c>
      <c r="F10" s="297">
        <f>'t12'!C10</f>
        <v>140</v>
      </c>
      <c r="G10" s="315" t="str">
        <f t="shared" si="0"/>
        <v>OK</v>
      </c>
    </row>
    <row r="11" spans="1:11" ht="13.2" x14ac:dyDescent="0.25">
      <c r="A11" s="109" t="str">
        <f>'t1'!A11</f>
        <v>COADIUTORE AREA I</v>
      </c>
      <c r="B11" s="88" t="str">
        <f>'t1'!B11</f>
        <v>011121</v>
      </c>
      <c r="C11" s="577">
        <f>('t1'!K11+'t1'!L11)</f>
        <v>14</v>
      </c>
      <c r="D11" s="296">
        <f>'t5'!U12+'t5'!V12</f>
        <v>0</v>
      </c>
      <c r="E11" s="296">
        <f>'t4'!O20</f>
        <v>0</v>
      </c>
      <c r="F11" s="297">
        <f>'t12'!C11</f>
        <v>151</v>
      </c>
      <c r="G11" s="315" t="str">
        <f t="shared" si="0"/>
        <v>OK</v>
      </c>
    </row>
    <row r="12" spans="1:11" ht="13.2" x14ac:dyDescent="0.25">
      <c r="A12" s="109" t="str">
        <f>'t1'!A12</f>
        <v>PROFESSORI DI PRIMA FASCIA TEMPO DET.ANNUALE</v>
      </c>
      <c r="B12" s="88" t="str">
        <f>'t1'!B12</f>
        <v>018PD1</v>
      </c>
      <c r="C12" s="577">
        <f>('t1'!K12+'t1'!L12)</f>
        <v>21</v>
      </c>
      <c r="D12" s="296">
        <f>'t5'!U13+'t5'!V13</f>
        <v>0</v>
      </c>
      <c r="E12" s="296">
        <f>'t4'!O21</f>
        <v>0</v>
      </c>
      <c r="F12" s="297">
        <f>'t12'!C12</f>
        <v>160</v>
      </c>
      <c r="G12" s="315" t="str">
        <f t="shared" si="0"/>
        <v>OK</v>
      </c>
    </row>
    <row r="13" spans="1:11" ht="13.2" x14ac:dyDescent="0.25">
      <c r="A13" s="109" t="str">
        <f>'t1'!A13</f>
        <v>DIRETTORE AMMINISTRATIVO TEMPO DET.ANNUALE (EP2)</v>
      </c>
      <c r="B13" s="88" t="str">
        <f>'t1'!B13</f>
        <v>013EP2</v>
      </c>
      <c r="C13" s="577">
        <f>('t1'!K13+'t1'!L13)</f>
        <v>1</v>
      </c>
      <c r="D13" s="296">
        <f>'t5'!U14+'t5'!V14</f>
        <v>0</v>
      </c>
      <c r="E13" s="296">
        <f>'t4'!O22</f>
        <v>0</v>
      </c>
      <c r="F13" s="297">
        <f>'t12'!C13</f>
        <v>8</v>
      </c>
      <c r="G13" s="315" t="str">
        <f t="shared" si="0"/>
        <v>OK</v>
      </c>
    </row>
    <row r="14" spans="1:11" ht="13.2" x14ac:dyDescent="0.25">
      <c r="A14" s="109" t="str">
        <f>'t1'!A14</f>
        <v>DIRETTORE DELL UFFICIO DI RAGIONERIA TEMPO DET.ANNUALE (EP1)</v>
      </c>
      <c r="B14" s="88" t="str">
        <f>'t1'!B14</f>
        <v>013160</v>
      </c>
      <c r="C14" s="577">
        <f>('t1'!K14+'t1'!L14)</f>
        <v>1</v>
      </c>
      <c r="D14" s="296">
        <f>'t5'!U15+'t5'!V15</f>
        <v>0</v>
      </c>
      <c r="E14" s="296">
        <f>'t4'!O23</f>
        <v>0</v>
      </c>
      <c r="F14" s="297">
        <f>'t12'!C14</f>
        <v>2</v>
      </c>
      <c r="G14" s="315" t="str">
        <f t="shared" si="0"/>
        <v>OK</v>
      </c>
    </row>
    <row r="15" spans="1:11" ht="13.2" x14ac:dyDescent="0.25">
      <c r="A15" s="109" t="str">
        <f>'t1'!A15</f>
        <v>COLLABORATORE AREA III TEMPO DET. ANNUALE</v>
      </c>
      <c r="B15" s="88" t="str">
        <f>'t1'!B15</f>
        <v>013CDE</v>
      </c>
      <c r="C15" s="577">
        <f>('t1'!K15+'t1'!L15)</f>
        <v>0</v>
      </c>
      <c r="D15" s="296">
        <f>'t5'!U16+'t5'!V16</f>
        <v>0</v>
      </c>
      <c r="E15" s="296">
        <f>'t4'!O24</f>
        <v>0</v>
      </c>
      <c r="F15" s="297">
        <f>'t12'!C15</f>
        <v>0</v>
      </c>
      <c r="G15" s="315" t="str">
        <f t="shared" si="0"/>
        <v>OK</v>
      </c>
    </row>
    <row r="16" spans="1:11" ht="13.2" x14ac:dyDescent="0.25">
      <c r="A16" s="109" t="str">
        <f>'t1'!A16</f>
        <v>ASSISTENTE AREA II TEMPO DET. ANNUALE</v>
      </c>
      <c r="B16" s="88" t="str">
        <f>'t1'!B16</f>
        <v>012118</v>
      </c>
      <c r="C16" s="577">
        <f>('t1'!K16+'t1'!L16)</f>
        <v>6</v>
      </c>
      <c r="D16" s="296">
        <f>'t5'!U17+'t5'!V17</f>
        <v>0</v>
      </c>
      <c r="E16" s="296">
        <f>'t4'!O25</f>
        <v>0</v>
      </c>
      <c r="F16" s="297">
        <f>'t12'!C16</f>
        <v>88</v>
      </c>
      <c r="G16" s="315" t="str">
        <f t="shared" si="0"/>
        <v>OK</v>
      </c>
    </row>
    <row r="17" spans="1:7" ht="13.2" x14ac:dyDescent="0.25">
      <c r="A17" s="109" t="str">
        <f>'t1'!A17</f>
        <v>COADIUTORE AREA I TEMPO DET.ANNUALE</v>
      </c>
      <c r="B17" s="88" t="str">
        <f>'t1'!B17</f>
        <v>011124</v>
      </c>
      <c r="C17" s="577">
        <f>('t1'!K17+'t1'!L17)</f>
        <v>5</v>
      </c>
      <c r="D17" s="296">
        <f>'t5'!U18+'t5'!V18</f>
        <v>0</v>
      </c>
      <c r="E17" s="296">
        <f>'t4'!O26</f>
        <v>1</v>
      </c>
      <c r="F17" s="297">
        <f>'t12'!C17</f>
        <v>90</v>
      </c>
      <c r="G17" s="315" t="str">
        <f t="shared" si="0"/>
        <v>OK</v>
      </c>
    </row>
  </sheetData>
  <sheetProtection password="DD41" sheet="1" formatColumns="0" selectLockedCells="1" selectUnlockedCells="1"/>
  <mergeCells count="2">
    <mergeCell ref="A1:G1"/>
    <mergeCell ref="D2:G2"/>
  </mergeCells>
  <phoneticPr fontId="30" type="noConversion"/>
  <printOptions horizontalCentered="1" verticalCentered="1"/>
  <pageMargins left="0.19685039370078741" right="0.19685039370078741" top="0.19685039370078741" bottom="0.15748031496062992" header="0.15748031496062992" footer="0.15748031496062992"/>
  <pageSetup paperSize="9" scale="85" orientation="landscape" horizontalDpi="0"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1"/>
  <dimension ref="A1:I17"/>
  <sheetViews>
    <sheetView showGridLines="0" workbookViewId="0">
      <pane ySplit="5" topLeftCell="A6" activePane="bottomLeft" state="frozen"/>
      <selection activeCell="E11" sqref="E11"/>
      <selection pane="bottomLeft" activeCell="B5" sqref="B5"/>
    </sheetView>
  </sheetViews>
  <sheetFormatPr defaultRowHeight="10.199999999999999" x14ac:dyDescent="0.2"/>
  <cols>
    <col min="1" max="1" width="57.7109375" style="3" customWidth="1"/>
    <col min="2" max="2" width="11.28515625" style="2" customWidth="1"/>
    <col min="3" max="3" width="17.7109375" style="2" customWidth="1"/>
    <col min="4" max="4" width="26.7109375" style="313" customWidth="1"/>
    <col min="5" max="5" width="15.7109375" style="2" customWidth="1"/>
    <col min="6" max="6" width="9.28515625" style="91" customWidth="1"/>
  </cols>
  <sheetData>
    <row r="1" spans="1:9" s="3" customFormat="1" ht="43.5" customHeight="1" x14ac:dyDescent="0.2">
      <c r="A1" s="1097" t="str">
        <f>'t1'!A1</f>
        <v>AFAM - anno 2023</v>
      </c>
      <c r="B1" s="1097"/>
      <c r="C1" s="1097"/>
      <c r="D1" s="1097"/>
      <c r="E1" s="1097"/>
      <c r="I1"/>
    </row>
    <row r="2" spans="1:9" s="3" customFormat="1" ht="12.75" customHeight="1" x14ac:dyDescent="0.2">
      <c r="C2" s="1207"/>
      <c r="D2" s="1207"/>
      <c r="E2" s="1207"/>
      <c r="F2" s="272"/>
      <c r="I2"/>
    </row>
    <row r="3" spans="1:9" s="3" customFormat="1" ht="21" customHeight="1" x14ac:dyDescent="0.25">
      <c r="A3" s="161" t="s">
        <v>296</v>
      </c>
      <c r="B3" s="2"/>
      <c r="D3" s="314"/>
      <c r="E3" s="2"/>
    </row>
    <row r="4" spans="1:9" ht="81.75" customHeight="1" x14ac:dyDescent="0.2">
      <c r="A4" s="149" t="s">
        <v>195</v>
      </c>
      <c r="B4" s="150" t="s">
        <v>158</v>
      </c>
      <c r="C4" s="150" t="s">
        <v>249</v>
      </c>
      <c r="D4" s="347" t="s">
        <v>277</v>
      </c>
      <c r="E4" s="150" t="s">
        <v>259</v>
      </c>
    </row>
    <row r="5" spans="1:9" s="164" customFormat="1" x14ac:dyDescent="0.2">
      <c r="A5" s="148"/>
      <c r="B5" s="159"/>
      <c r="C5" s="159" t="s">
        <v>160</v>
      </c>
      <c r="D5" s="348" t="s">
        <v>161</v>
      </c>
      <c r="E5" s="159"/>
      <c r="F5" s="163"/>
    </row>
    <row r="6" spans="1:9" ht="13.2" x14ac:dyDescent="0.25">
      <c r="A6" s="109" t="str">
        <f>'t1'!A6</f>
        <v>PROFESSORI DI PRIMA FASCIA</v>
      </c>
      <c r="B6" s="88" t="str">
        <f>'t1'!B6</f>
        <v>018P01</v>
      </c>
      <c r="C6" s="296">
        <f>'t13'!U6</f>
        <v>652118</v>
      </c>
      <c r="D6" s="297">
        <f>('t3'!K6+'t3'!L6+'t3'!M6+'t3'!N6+'t3'!O6+'t3'!P6)+('t12'!C6/12)</f>
        <v>91.92</v>
      </c>
      <c r="E6" s="315" t="str">
        <f>IF(OR((NOT(C6)),(AND(C6&gt;=0,D6&gt;0))),"OK","ERRORE")</f>
        <v>OK</v>
      </c>
    </row>
    <row r="7" spans="1:9" ht="13.2" x14ac:dyDescent="0.25">
      <c r="A7" s="109" t="str">
        <f>'t1'!A7</f>
        <v>DIRETTORE AMMINISTRATIVO EP2</v>
      </c>
      <c r="B7" s="88" t="str">
        <f>'t1'!B7</f>
        <v>013504</v>
      </c>
      <c r="C7" s="296">
        <f>'t13'!U7</f>
        <v>0</v>
      </c>
      <c r="D7" s="297">
        <f>('t3'!K7+'t3'!L7+'t3'!M7+'t3'!N7+'t3'!O7+'t3'!P7)+('t12'!C7/12)</f>
        <v>0</v>
      </c>
      <c r="E7" s="315" t="str">
        <f t="shared" ref="E7:E17" si="0">IF(OR((NOT(C7)),(AND(C7&gt;=0,D7&gt;0))),"OK","ERRORE")</f>
        <v>OK</v>
      </c>
    </row>
    <row r="8" spans="1:9" ht="13.2" x14ac:dyDescent="0.25">
      <c r="A8" s="109" t="str">
        <f>'t1'!A8</f>
        <v>DIRETTORE DELL UFFICIO DI RAGIONERIA (EP1)</v>
      </c>
      <c r="B8" s="88" t="str">
        <f>'t1'!B8</f>
        <v>013159</v>
      </c>
      <c r="C8" s="296">
        <f>'t13'!U8</f>
        <v>0</v>
      </c>
      <c r="D8" s="297">
        <f>('t3'!K8+'t3'!L8+'t3'!M8+'t3'!N8+'t3'!O8+'t3'!P8)+('t12'!C8/12)</f>
        <v>0</v>
      </c>
      <c r="E8" s="315" t="str">
        <f t="shared" si="0"/>
        <v>OK</v>
      </c>
    </row>
    <row r="9" spans="1:9" ht="13.2" x14ac:dyDescent="0.25">
      <c r="A9" s="109" t="str">
        <f>'t1'!A9</f>
        <v>COLLABORATORE AREA III</v>
      </c>
      <c r="B9" s="88" t="str">
        <f>'t1'!B9</f>
        <v>013CTE</v>
      </c>
      <c r="C9" s="296">
        <f>'t13'!U9</f>
        <v>4183</v>
      </c>
      <c r="D9" s="297">
        <f>('t3'!K9+'t3'!L9+'t3'!M9+'t3'!N9+'t3'!O9+'t3'!P9)+('t12'!C9/12)</f>
        <v>1</v>
      </c>
      <c r="E9" s="315" t="str">
        <f t="shared" si="0"/>
        <v>OK</v>
      </c>
    </row>
    <row r="10" spans="1:9" ht="13.2" x14ac:dyDescent="0.25">
      <c r="A10" s="109" t="str">
        <f>'t1'!A10</f>
        <v>ASSISTENTE AREA II</v>
      </c>
      <c r="B10" s="88" t="str">
        <f>'t1'!B10</f>
        <v>012117</v>
      </c>
      <c r="C10" s="296">
        <f>'t13'!U10</f>
        <v>194996</v>
      </c>
      <c r="D10" s="297">
        <f>('t3'!K10+'t3'!L10+'t3'!M10+'t3'!N10+'t3'!O10+'t3'!P10)+('t12'!C10/12)</f>
        <v>11.67</v>
      </c>
      <c r="E10" s="315" t="str">
        <f t="shared" si="0"/>
        <v>OK</v>
      </c>
    </row>
    <row r="11" spans="1:9" ht="13.2" x14ac:dyDescent="0.25">
      <c r="A11" s="109" t="str">
        <f>'t1'!A11</f>
        <v>COADIUTORE AREA I</v>
      </c>
      <c r="B11" s="88" t="str">
        <f>'t1'!B11</f>
        <v>011121</v>
      </c>
      <c r="C11" s="296">
        <f>'t13'!U11</f>
        <v>68580</v>
      </c>
      <c r="D11" s="297">
        <f>('t3'!K11+'t3'!L11+'t3'!M11+'t3'!N11+'t3'!O11+'t3'!P11)+('t12'!C11/12)</f>
        <v>12.58</v>
      </c>
      <c r="E11" s="315" t="str">
        <f t="shared" si="0"/>
        <v>OK</v>
      </c>
    </row>
    <row r="12" spans="1:9" ht="13.2" x14ac:dyDescent="0.25">
      <c r="A12" s="109" t="str">
        <f>'t1'!A12</f>
        <v>PROFESSORI DI PRIMA FASCIA TEMPO DET.ANNUALE</v>
      </c>
      <c r="B12" s="88" t="str">
        <f>'t1'!B12</f>
        <v>018PD1</v>
      </c>
      <c r="C12" s="296">
        <f>'t13'!U12</f>
        <v>46524</v>
      </c>
      <c r="D12" s="297">
        <f>('t3'!K12+'t3'!L12+'t3'!M12+'t3'!N12+'t3'!O12+'t3'!P12)+('t12'!C12/12)</f>
        <v>13.33</v>
      </c>
      <c r="E12" s="315" t="str">
        <f t="shared" si="0"/>
        <v>OK</v>
      </c>
    </row>
    <row r="13" spans="1:9" ht="13.2" x14ac:dyDescent="0.25">
      <c r="A13" s="109" t="str">
        <f>'t1'!A13</f>
        <v>DIRETTORE AMMINISTRATIVO TEMPO DET.ANNUALE (EP2)</v>
      </c>
      <c r="B13" s="88" t="str">
        <f>'t1'!B13</f>
        <v>013EP2</v>
      </c>
      <c r="C13" s="296">
        <f>'t13'!U13</f>
        <v>2942</v>
      </c>
      <c r="D13" s="297">
        <f>('t3'!K13+'t3'!L13+'t3'!M13+'t3'!N13+'t3'!O13+'t3'!P13)+('t12'!C13/12)</f>
        <v>0.67</v>
      </c>
      <c r="E13" s="315" t="str">
        <f t="shared" si="0"/>
        <v>OK</v>
      </c>
    </row>
    <row r="14" spans="1:9" ht="13.2" x14ac:dyDescent="0.25">
      <c r="A14" s="109" t="str">
        <f>'t1'!A14</f>
        <v>DIRETTORE DELL UFFICIO DI RAGIONERIA TEMPO DET.ANNUALE (EP1)</v>
      </c>
      <c r="B14" s="88" t="str">
        <f>'t1'!B14</f>
        <v>013160</v>
      </c>
      <c r="C14" s="296">
        <f>'t13'!U14</f>
        <v>1089</v>
      </c>
      <c r="D14" s="297">
        <f>('t3'!K14+'t3'!L14+'t3'!M14+'t3'!N14+'t3'!O14+'t3'!P14)+('t12'!C14/12)</f>
        <v>0.17</v>
      </c>
      <c r="E14" s="315" t="str">
        <f t="shared" si="0"/>
        <v>OK</v>
      </c>
    </row>
    <row r="15" spans="1:9" ht="13.2" x14ac:dyDescent="0.25">
      <c r="A15" s="109" t="str">
        <f>'t1'!A15</f>
        <v>COLLABORATORE AREA III TEMPO DET. ANNUALE</v>
      </c>
      <c r="B15" s="88" t="str">
        <f>'t1'!B15</f>
        <v>013CDE</v>
      </c>
      <c r="C15" s="296">
        <f>'t13'!U15</f>
        <v>0</v>
      </c>
      <c r="D15" s="297">
        <f>('t3'!K15+'t3'!L15+'t3'!M15+'t3'!N15+'t3'!O15+'t3'!P15)+('t12'!C15/12)</f>
        <v>0</v>
      </c>
      <c r="E15" s="315" t="str">
        <f t="shared" si="0"/>
        <v>OK</v>
      </c>
    </row>
    <row r="16" spans="1:9" ht="13.2" x14ac:dyDescent="0.25">
      <c r="A16" s="109" t="str">
        <f>'t1'!A16</f>
        <v>ASSISTENTE AREA II TEMPO DET. ANNUALE</v>
      </c>
      <c r="B16" s="88" t="str">
        <f>'t1'!B16</f>
        <v>012118</v>
      </c>
      <c r="C16" s="296">
        <f>'t13'!U16</f>
        <v>22277</v>
      </c>
      <c r="D16" s="297">
        <f>('t3'!K16+'t3'!L16+'t3'!M16+'t3'!N16+'t3'!O16+'t3'!P16)+('t12'!C16/12)</f>
        <v>7.33</v>
      </c>
      <c r="E16" s="315" t="str">
        <f t="shared" si="0"/>
        <v>OK</v>
      </c>
    </row>
    <row r="17" spans="1:5" ht="13.2" x14ac:dyDescent="0.25">
      <c r="A17" s="109" t="str">
        <f>'t1'!A17</f>
        <v>COADIUTORE AREA I TEMPO DET.ANNUALE</v>
      </c>
      <c r="B17" s="88" t="str">
        <f>'t1'!B17</f>
        <v>011124</v>
      </c>
      <c r="C17" s="296">
        <f>'t13'!U17</f>
        <v>26980</v>
      </c>
      <c r="D17" s="297">
        <f>('t3'!K17+'t3'!L17+'t3'!M17+'t3'!N17+'t3'!O17+'t3'!P17)+('t12'!C17/12)</f>
        <v>7.5</v>
      </c>
      <c r="E17" s="315" t="str">
        <f t="shared" si="0"/>
        <v>OK</v>
      </c>
    </row>
  </sheetData>
  <sheetProtection password="DD41" sheet="1" formatColumns="0" selectLockedCells="1" selectUnlockedCells="1"/>
  <mergeCells count="2">
    <mergeCell ref="A1:E1"/>
    <mergeCell ref="C2:E2"/>
  </mergeCells>
  <phoneticPr fontId="30" type="noConversion"/>
  <printOptions horizontalCentered="1" verticalCentered="1"/>
  <pageMargins left="0.19685039370078741" right="0.19685039370078741" top="0.19685039370078741" bottom="0.15748031496062992" header="0.15748031496062992" footer="0.15748031496062992"/>
  <pageSetup paperSize="9" scale="85" orientation="landscape" horizontalDpi="0" verticalDpi="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28"/>
  <dimension ref="A1:N17"/>
  <sheetViews>
    <sheetView showGridLines="0" workbookViewId="0">
      <pane xSplit="2" ySplit="5" topLeftCell="C6" activePane="bottomRight" state="frozen"/>
      <selection activeCell="E11" sqref="E11"/>
      <selection pane="topRight" activeCell="E11" sqref="E11"/>
      <selection pane="bottomLeft" activeCell="E11" sqref="E11"/>
      <selection pane="bottomRight" activeCell="B2" sqref="B2"/>
    </sheetView>
  </sheetViews>
  <sheetFormatPr defaultRowHeight="10.199999999999999" x14ac:dyDescent="0.2"/>
  <cols>
    <col min="1" max="1" width="57.7109375" style="3" customWidth="1"/>
    <col min="2" max="2" width="10" style="2" customWidth="1"/>
    <col min="3" max="8" width="11.7109375" style="2" customWidth="1"/>
    <col min="9" max="9" width="13.7109375" style="2" customWidth="1"/>
    <col min="10" max="11" width="16.7109375" style="2" hidden="1" customWidth="1"/>
    <col min="12" max="12" width="85.7109375" customWidth="1"/>
  </cols>
  <sheetData>
    <row r="1" spans="1:14" s="3" customFormat="1" ht="43.5" customHeight="1" x14ac:dyDescent="0.2">
      <c r="A1" s="1097" t="str">
        <f>'t1'!A1</f>
        <v>AFAM - anno 2023</v>
      </c>
      <c r="B1" s="1097"/>
      <c r="C1" s="1097"/>
      <c r="D1" s="1097"/>
      <c r="E1" s="1097"/>
      <c r="F1" s="1097"/>
      <c r="G1" s="1097"/>
      <c r="H1" s="1097"/>
      <c r="I1" s="1097"/>
      <c r="J1" s="1097"/>
      <c r="K1" s="1097"/>
      <c r="N1"/>
    </row>
    <row r="2" spans="1:14" s="3" customFormat="1" ht="12.75" customHeight="1" x14ac:dyDescent="0.2">
      <c r="D2" s="1207"/>
      <c r="E2" s="1207"/>
      <c r="F2" s="1207"/>
      <c r="G2" s="1207"/>
      <c r="H2" s="1207"/>
      <c r="I2" s="1207"/>
      <c r="J2" s="1207"/>
      <c r="K2" s="1207"/>
      <c r="N2"/>
    </row>
    <row r="3" spans="1:14" s="3" customFormat="1" ht="21" customHeight="1" x14ac:dyDescent="0.25">
      <c r="A3" s="161" t="s">
        <v>539</v>
      </c>
      <c r="B3" s="2"/>
      <c r="C3" s="2"/>
    </row>
    <row r="4" spans="1:14" ht="51" x14ac:dyDescent="0.2">
      <c r="A4" s="149" t="s">
        <v>195</v>
      </c>
      <c r="B4" s="150" t="s">
        <v>158</v>
      </c>
      <c r="C4" s="150" t="s">
        <v>32</v>
      </c>
      <c r="D4" s="150" t="s">
        <v>33</v>
      </c>
      <c r="E4" s="150" t="s">
        <v>34</v>
      </c>
      <c r="F4" s="150" t="s">
        <v>35</v>
      </c>
      <c r="G4" s="150" t="s">
        <v>36</v>
      </c>
      <c r="H4" s="150" t="s">
        <v>37</v>
      </c>
      <c r="I4" s="150" t="s">
        <v>38</v>
      </c>
      <c r="J4" s="150" t="s">
        <v>39</v>
      </c>
      <c r="K4" s="150" t="s">
        <v>40</v>
      </c>
      <c r="L4" s="495" t="s">
        <v>364</v>
      </c>
    </row>
    <row r="5" spans="1:14" s="164" customFormat="1" ht="51" hidden="1" x14ac:dyDescent="0.2">
      <c r="A5" s="148"/>
      <c r="B5" s="159"/>
      <c r="C5" s="159" t="s">
        <v>160</v>
      </c>
      <c r="D5" s="159" t="s">
        <v>161</v>
      </c>
      <c r="E5" s="159" t="s">
        <v>162</v>
      </c>
      <c r="F5" s="159" t="s">
        <v>163</v>
      </c>
      <c r="G5" s="159" t="s">
        <v>164</v>
      </c>
      <c r="H5" s="159" t="s">
        <v>184</v>
      </c>
      <c r="I5" s="159"/>
      <c r="J5" s="537" t="s">
        <v>377</v>
      </c>
      <c r="K5" s="537" t="s">
        <v>495</v>
      </c>
      <c r="L5" s="539"/>
    </row>
    <row r="6" spans="1:14" ht="13.2" x14ac:dyDescent="0.25">
      <c r="A6" s="109" t="str">
        <f>'t1'!A6</f>
        <v>PROFESSORI DI PRIMA FASCIA</v>
      </c>
      <c r="B6" s="88" t="str">
        <f>'t1'!B6</f>
        <v>018P01</v>
      </c>
      <c r="C6" s="296">
        <f>'t11'!W8+'t11'!X8</f>
        <v>944</v>
      </c>
      <c r="D6" s="296">
        <f>'t1'!K6+'t1'!L6</f>
        <v>89</v>
      </c>
      <c r="E6" s="296">
        <f>'t3'!K6+'t3'!L6+'t3'!M6+'t3'!N6+'t3'!O6+'t3'!P6</f>
        <v>0</v>
      </c>
      <c r="F6" s="296">
        <f>'t4'!O15</f>
        <v>0</v>
      </c>
      <c r="G6" s="294">
        <f>'t4'!C27</f>
        <v>0</v>
      </c>
      <c r="H6" s="296">
        <f>'t5'!U7+'t5'!V7</f>
        <v>9</v>
      </c>
      <c r="I6" s="315" t="str">
        <f>IF(AND(J6="OK",K6="OK"),"OK","ERRORE")</f>
        <v>OK</v>
      </c>
      <c r="J6" s="315" t="str">
        <f t="shared" ref="J6:J17" si="0">IF(AND(C6&gt;0,D6=0,E6=0,F6=0,G6=0,H6=0),"KO","OK")</f>
        <v>OK</v>
      </c>
      <c r="K6" s="315" t="str">
        <f t="shared" ref="K6:K17" si="1">IF(AND(C6=0,OR(D6&gt;0,E6&gt;0,F6&gt;0,G6&gt;0,H6&gt;0)),"KO","OK")</f>
        <v>OK</v>
      </c>
      <c r="L6" s="540" t="str">
        <f>IF(K6="KO",$K$5,IF(J6="KO",$J$5,""))</f>
        <v/>
      </c>
    </row>
    <row r="7" spans="1:14" ht="13.2" x14ac:dyDescent="0.25">
      <c r="A7" s="109" t="str">
        <f>'t1'!A7</f>
        <v>DIRETTORE AMMINISTRATIVO EP2</v>
      </c>
      <c r="B7" s="88" t="str">
        <f>'t1'!B7</f>
        <v>013504</v>
      </c>
      <c r="C7" s="296">
        <f>'t11'!W9+'t11'!X9</f>
        <v>0</v>
      </c>
      <c r="D7" s="296">
        <f>'t1'!K7+'t1'!L7</f>
        <v>0</v>
      </c>
      <c r="E7" s="296">
        <f>'t3'!K7+'t3'!L7+'t3'!M7+'t3'!N7+'t3'!O7+'t3'!P7</f>
        <v>0</v>
      </c>
      <c r="F7" s="296">
        <f>'t4'!O16</f>
        <v>0</v>
      </c>
      <c r="G7" s="294">
        <f>'t4'!D27</f>
        <v>0</v>
      </c>
      <c r="H7" s="296">
        <f>'t5'!U8+'t5'!V8</f>
        <v>0</v>
      </c>
      <c r="I7" s="315" t="str">
        <f t="shared" ref="I7:I17" si="2">IF(AND(J7="OK",K7="OK"),"OK","ERRORE")</f>
        <v>OK</v>
      </c>
      <c r="J7" s="315" t="str">
        <f t="shared" si="0"/>
        <v>OK</v>
      </c>
      <c r="K7" s="315" t="str">
        <f t="shared" si="1"/>
        <v>OK</v>
      </c>
      <c r="L7" s="540" t="str">
        <f t="shared" ref="L7:L17" si="3">IF(K7="KO",$K$5,IF(J7="KO",$J$5,""))</f>
        <v/>
      </c>
    </row>
    <row r="8" spans="1:14" ht="13.2" x14ac:dyDescent="0.25">
      <c r="A8" s="109" t="str">
        <f>'t1'!A8</f>
        <v>DIRETTORE DELL UFFICIO DI RAGIONERIA (EP1)</v>
      </c>
      <c r="B8" s="88" t="str">
        <f>'t1'!B8</f>
        <v>013159</v>
      </c>
      <c r="C8" s="296">
        <f>'t11'!W10+'t11'!X10</f>
        <v>0</v>
      </c>
      <c r="D8" s="296">
        <f>'t1'!K8+'t1'!L8</f>
        <v>0</v>
      </c>
      <c r="E8" s="296">
        <f>'t3'!K8+'t3'!L8+'t3'!M8+'t3'!N8+'t3'!O8+'t3'!P8</f>
        <v>0</v>
      </c>
      <c r="F8" s="296">
        <f>'t4'!O17</f>
        <v>0</v>
      </c>
      <c r="G8" s="294">
        <f>'t4'!E27</f>
        <v>0</v>
      </c>
      <c r="H8" s="296">
        <f>'t5'!U9+'t5'!V9</f>
        <v>0</v>
      </c>
      <c r="I8" s="315" t="str">
        <f t="shared" si="2"/>
        <v>OK</v>
      </c>
      <c r="J8" s="315" t="str">
        <f t="shared" si="0"/>
        <v>OK</v>
      </c>
      <c r="K8" s="315" t="str">
        <f t="shared" si="1"/>
        <v>OK</v>
      </c>
      <c r="L8" s="540" t="str">
        <f t="shared" si="3"/>
        <v/>
      </c>
    </row>
    <row r="9" spans="1:14" ht="13.2" x14ac:dyDescent="0.25">
      <c r="A9" s="109" t="str">
        <f>'t1'!A9</f>
        <v>COLLABORATORE AREA III</v>
      </c>
      <c r="B9" s="88" t="str">
        <f>'t1'!B9</f>
        <v>013CTE</v>
      </c>
      <c r="C9" s="296">
        <f>'t11'!W11+'t11'!X11</f>
        <v>36</v>
      </c>
      <c r="D9" s="296">
        <f>'t1'!K9+'t1'!L9</f>
        <v>1</v>
      </c>
      <c r="E9" s="296">
        <f>'t3'!K9+'t3'!L9+'t3'!M9+'t3'!N9+'t3'!O9+'t3'!P9</f>
        <v>0</v>
      </c>
      <c r="F9" s="296">
        <f>'t4'!O18</f>
        <v>0</v>
      </c>
      <c r="G9" s="294">
        <f>'t4'!F27</f>
        <v>0</v>
      </c>
      <c r="H9" s="296">
        <f>'t5'!U10+'t5'!V10</f>
        <v>0</v>
      </c>
      <c r="I9" s="315" t="str">
        <f t="shared" si="2"/>
        <v>OK</v>
      </c>
      <c r="J9" s="315" t="str">
        <f t="shared" si="0"/>
        <v>OK</v>
      </c>
      <c r="K9" s="315" t="str">
        <f t="shared" si="1"/>
        <v>OK</v>
      </c>
      <c r="L9" s="540" t="str">
        <f t="shared" si="3"/>
        <v/>
      </c>
    </row>
    <row r="10" spans="1:14" ht="13.2" x14ac:dyDescent="0.25">
      <c r="A10" s="109" t="str">
        <f>'t1'!A10</f>
        <v>ASSISTENTE AREA II</v>
      </c>
      <c r="B10" s="88" t="str">
        <f>'t1'!B10</f>
        <v>012117</v>
      </c>
      <c r="C10" s="296">
        <f>'t11'!W12+'t11'!X12</f>
        <v>564</v>
      </c>
      <c r="D10" s="296">
        <f>'t1'!K10+'t1'!L10</f>
        <v>13</v>
      </c>
      <c r="E10" s="296">
        <f>'t3'!K10+'t3'!L10+'t3'!M10+'t3'!N10+'t3'!O10+'t3'!P10</f>
        <v>0</v>
      </c>
      <c r="F10" s="296">
        <f>'t4'!O19</f>
        <v>0</v>
      </c>
      <c r="G10" s="294">
        <f>'t4'!G27</f>
        <v>0</v>
      </c>
      <c r="H10" s="296">
        <f>'t5'!U11+'t5'!V11</f>
        <v>0</v>
      </c>
      <c r="I10" s="315" t="str">
        <f t="shared" si="2"/>
        <v>OK</v>
      </c>
      <c r="J10" s="315" t="str">
        <f t="shared" si="0"/>
        <v>OK</v>
      </c>
      <c r="K10" s="315" t="str">
        <f t="shared" si="1"/>
        <v>OK</v>
      </c>
      <c r="L10" s="540" t="str">
        <f t="shared" si="3"/>
        <v/>
      </c>
    </row>
    <row r="11" spans="1:14" ht="13.2" x14ac:dyDescent="0.25">
      <c r="A11" s="109" t="str">
        <f>'t1'!A11</f>
        <v>COADIUTORE AREA I</v>
      </c>
      <c r="B11" s="88" t="str">
        <f>'t1'!B11</f>
        <v>011121</v>
      </c>
      <c r="C11" s="296">
        <f>'t11'!W13+'t11'!X13</f>
        <v>1024</v>
      </c>
      <c r="D11" s="296">
        <f>'t1'!K11+'t1'!L11</f>
        <v>14</v>
      </c>
      <c r="E11" s="296">
        <f>'t3'!K11+'t3'!L11+'t3'!M11+'t3'!N11+'t3'!O11+'t3'!P11</f>
        <v>0</v>
      </c>
      <c r="F11" s="296">
        <f>'t4'!O20</f>
        <v>0</v>
      </c>
      <c r="G11" s="294">
        <f>'t4'!H27</f>
        <v>1</v>
      </c>
      <c r="H11" s="296">
        <f>'t5'!U12+'t5'!V12</f>
        <v>0</v>
      </c>
      <c r="I11" s="315" t="str">
        <f t="shared" si="2"/>
        <v>OK</v>
      </c>
      <c r="J11" s="315" t="str">
        <f t="shared" si="0"/>
        <v>OK</v>
      </c>
      <c r="K11" s="315" t="str">
        <f t="shared" si="1"/>
        <v>OK</v>
      </c>
      <c r="L11" s="540" t="str">
        <f t="shared" si="3"/>
        <v/>
      </c>
    </row>
    <row r="12" spans="1:14" ht="13.2" x14ac:dyDescent="0.25">
      <c r="A12" s="109" t="str">
        <f>'t1'!A12</f>
        <v>PROFESSORI DI PRIMA FASCIA TEMPO DET.ANNUALE</v>
      </c>
      <c r="B12" s="88" t="str">
        <f>'t1'!B12</f>
        <v>018PD1</v>
      </c>
      <c r="C12" s="296">
        <f>'t11'!W14+'t11'!X14</f>
        <v>369</v>
      </c>
      <c r="D12" s="296">
        <f>'t1'!K12+'t1'!L12</f>
        <v>21</v>
      </c>
      <c r="E12" s="296">
        <f>'t3'!K12+'t3'!L12+'t3'!M12+'t3'!N12+'t3'!O12+'t3'!P12</f>
        <v>0</v>
      </c>
      <c r="F12" s="296">
        <f>'t4'!O21</f>
        <v>0</v>
      </c>
      <c r="G12" s="294">
        <f>'t4'!I27</f>
        <v>0</v>
      </c>
      <c r="H12" s="296">
        <f>'t5'!U13+'t5'!V13</f>
        <v>0</v>
      </c>
      <c r="I12" s="315" t="str">
        <f t="shared" si="2"/>
        <v>OK</v>
      </c>
      <c r="J12" s="315" t="str">
        <f t="shared" si="0"/>
        <v>OK</v>
      </c>
      <c r="K12" s="315" t="str">
        <f t="shared" si="1"/>
        <v>OK</v>
      </c>
      <c r="L12" s="540" t="str">
        <f t="shared" si="3"/>
        <v/>
      </c>
    </row>
    <row r="13" spans="1:14" ht="13.2" x14ac:dyDescent="0.25">
      <c r="A13" s="109" t="str">
        <f>'t1'!A13</f>
        <v>DIRETTORE AMMINISTRATIVO TEMPO DET.ANNUALE (EP2)</v>
      </c>
      <c r="B13" s="88" t="str">
        <f>'t1'!B13</f>
        <v>013EP2</v>
      </c>
      <c r="C13" s="296">
        <f>'t11'!W15+'t11'!X15</f>
        <v>28</v>
      </c>
      <c r="D13" s="296">
        <f>'t1'!K13+'t1'!L13</f>
        <v>1</v>
      </c>
      <c r="E13" s="296">
        <f>'t3'!K13+'t3'!L13+'t3'!M13+'t3'!N13+'t3'!O13+'t3'!P13</f>
        <v>0</v>
      </c>
      <c r="F13" s="296">
        <f>'t4'!O22</f>
        <v>0</v>
      </c>
      <c r="G13" s="294">
        <f>'t4'!J27</f>
        <v>0</v>
      </c>
      <c r="H13" s="296">
        <f>'t5'!U14+'t5'!V14</f>
        <v>0</v>
      </c>
      <c r="I13" s="315" t="str">
        <f t="shared" si="2"/>
        <v>OK</v>
      </c>
      <c r="J13" s="315" t="str">
        <f t="shared" si="0"/>
        <v>OK</v>
      </c>
      <c r="K13" s="315" t="str">
        <f t="shared" si="1"/>
        <v>OK</v>
      </c>
      <c r="L13" s="540" t="str">
        <f t="shared" si="3"/>
        <v/>
      </c>
    </row>
    <row r="14" spans="1:14" ht="13.2" x14ac:dyDescent="0.25">
      <c r="A14" s="109" t="str">
        <f>'t1'!A14</f>
        <v>DIRETTORE DELL UFFICIO DI RAGIONERIA TEMPO DET.ANNUALE (EP1)</v>
      </c>
      <c r="B14" s="88" t="str">
        <f>'t1'!B14</f>
        <v>013160</v>
      </c>
      <c r="C14" s="296">
        <f>'t11'!W16+'t11'!X16</f>
        <v>36</v>
      </c>
      <c r="D14" s="296">
        <f>'t1'!K14+'t1'!L14</f>
        <v>1</v>
      </c>
      <c r="E14" s="296">
        <f>'t3'!K14+'t3'!L14+'t3'!M14+'t3'!N14+'t3'!O14+'t3'!P14</f>
        <v>0</v>
      </c>
      <c r="F14" s="296">
        <f>'t4'!O23</f>
        <v>0</v>
      </c>
      <c r="G14" s="294">
        <f>'t4'!K27</f>
        <v>0</v>
      </c>
      <c r="H14" s="296">
        <f>'t5'!U15+'t5'!V15</f>
        <v>0</v>
      </c>
      <c r="I14" s="315" t="str">
        <f t="shared" si="2"/>
        <v>OK</v>
      </c>
      <c r="J14" s="315" t="str">
        <f t="shared" si="0"/>
        <v>OK</v>
      </c>
      <c r="K14" s="315" t="str">
        <f t="shared" si="1"/>
        <v>OK</v>
      </c>
      <c r="L14" s="540" t="str">
        <f t="shared" si="3"/>
        <v/>
      </c>
    </row>
    <row r="15" spans="1:14" ht="13.2" x14ac:dyDescent="0.25">
      <c r="A15" s="109" t="str">
        <f>'t1'!A15</f>
        <v>COLLABORATORE AREA III TEMPO DET. ANNUALE</v>
      </c>
      <c r="B15" s="88" t="str">
        <f>'t1'!B15</f>
        <v>013CDE</v>
      </c>
      <c r="C15" s="296">
        <f>'t11'!W17+'t11'!X17</f>
        <v>0</v>
      </c>
      <c r="D15" s="296">
        <f>'t1'!K15+'t1'!L15</f>
        <v>0</v>
      </c>
      <c r="E15" s="296">
        <f>'t3'!K15+'t3'!L15+'t3'!M15+'t3'!N15+'t3'!O15+'t3'!P15</f>
        <v>0</v>
      </c>
      <c r="F15" s="296">
        <f>'t4'!O24</f>
        <v>0</v>
      </c>
      <c r="G15" s="294">
        <f>'t4'!L27</f>
        <v>0</v>
      </c>
      <c r="H15" s="296">
        <f>'t5'!U16+'t5'!V16</f>
        <v>0</v>
      </c>
      <c r="I15" s="315" t="str">
        <f t="shared" si="2"/>
        <v>OK</v>
      </c>
      <c r="J15" s="315" t="str">
        <f t="shared" si="0"/>
        <v>OK</v>
      </c>
      <c r="K15" s="315" t="str">
        <f t="shared" si="1"/>
        <v>OK</v>
      </c>
      <c r="L15" s="540" t="str">
        <f t="shared" si="3"/>
        <v/>
      </c>
    </row>
    <row r="16" spans="1:14" ht="13.2" x14ac:dyDescent="0.25">
      <c r="A16" s="109" t="str">
        <f>'t1'!A16</f>
        <v>ASSISTENTE AREA II TEMPO DET. ANNUALE</v>
      </c>
      <c r="B16" s="88" t="str">
        <f>'t1'!B16</f>
        <v>012118</v>
      </c>
      <c r="C16" s="296">
        <f>'t11'!W18+'t11'!X18</f>
        <v>190</v>
      </c>
      <c r="D16" s="296">
        <f>'t1'!K16+'t1'!L16</f>
        <v>6</v>
      </c>
      <c r="E16" s="296">
        <f>'t3'!K16+'t3'!L16+'t3'!M16+'t3'!N16+'t3'!O16+'t3'!P16</f>
        <v>0</v>
      </c>
      <c r="F16" s="296">
        <f>'t4'!O25</f>
        <v>0</v>
      </c>
      <c r="G16" s="294">
        <f>'t4'!M27</f>
        <v>0</v>
      </c>
      <c r="H16" s="296">
        <f>'t5'!U17+'t5'!V17</f>
        <v>0</v>
      </c>
      <c r="I16" s="315" t="str">
        <f t="shared" si="2"/>
        <v>OK</v>
      </c>
      <c r="J16" s="315" t="str">
        <f t="shared" si="0"/>
        <v>OK</v>
      </c>
      <c r="K16" s="315" t="str">
        <f t="shared" si="1"/>
        <v>OK</v>
      </c>
      <c r="L16" s="540" t="str">
        <f t="shared" si="3"/>
        <v/>
      </c>
    </row>
    <row r="17" spans="1:12" ht="13.2" x14ac:dyDescent="0.25">
      <c r="A17" s="109" t="str">
        <f>'t1'!A17</f>
        <v>COADIUTORE AREA I TEMPO DET.ANNUALE</v>
      </c>
      <c r="B17" s="88" t="str">
        <f>'t1'!B17</f>
        <v>011124</v>
      </c>
      <c r="C17" s="296">
        <f>'t11'!W19+'t11'!X19</f>
        <v>433</v>
      </c>
      <c r="D17" s="296">
        <f>'t1'!K17+'t1'!L17</f>
        <v>5</v>
      </c>
      <c r="E17" s="296">
        <f>'t3'!K17+'t3'!L17+'t3'!M17+'t3'!N17+'t3'!O17+'t3'!P17</f>
        <v>0</v>
      </c>
      <c r="F17" s="296">
        <f>'t4'!O26</f>
        <v>1</v>
      </c>
      <c r="G17" s="294">
        <f>'t4'!N27</f>
        <v>0</v>
      </c>
      <c r="H17" s="296">
        <f>'t5'!U18+'t5'!V18</f>
        <v>0</v>
      </c>
      <c r="I17" s="315" t="str">
        <f t="shared" si="2"/>
        <v>OK</v>
      </c>
      <c r="J17" s="315" t="str">
        <f t="shared" si="0"/>
        <v>OK</v>
      </c>
      <c r="K17" s="315" t="str">
        <f t="shared" si="1"/>
        <v>OK</v>
      </c>
      <c r="L17" s="540" t="str">
        <f t="shared" si="3"/>
        <v/>
      </c>
    </row>
  </sheetData>
  <sheetProtection password="DD41" sheet="1" formatColumns="0" selectLockedCells="1" selectUnlockedCells="1"/>
  <mergeCells count="2">
    <mergeCell ref="A1:K1"/>
    <mergeCell ref="D2:K2"/>
  </mergeCells>
  <phoneticPr fontId="30" type="noConversion"/>
  <conditionalFormatting sqref="I6:I17">
    <cfRule type="notContainsText" dxfId="2" priority="1" stopIfTrue="1" operator="notContains" text="ok">
      <formula>ISERROR(SEARCH("ok",I6))</formula>
    </cfRule>
  </conditionalFormatting>
  <printOptions horizontalCentered="1"/>
  <pageMargins left="0.19685039370078741" right="0.19685039370078741" top="0.19685039370078741" bottom="0.15748031496062992" header="0.15748031496062992" footer="0.15748031496062992"/>
  <pageSetup paperSize="9" scale="75" orientation="landscape" horizontalDpi="0" verticalDpi="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3"/>
  <dimension ref="A1:M17"/>
  <sheetViews>
    <sheetView showGridLines="0" workbookViewId="0">
      <pane xSplit="2" ySplit="5" topLeftCell="C6" activePane="bottomRight" state="frozen"/>
      <selection activeCell="E11" sqref="E11"/>
      <selection pane="topRight" activeCell="E11" sqref="E11"/>
      <selection pane="bottomLeft" activeCell="E11" sqref="E11"/>
      <selection pane="bottomRight" activeCell="B5" sqref="B5"/>
    </sheetView>
  </sheetViews>
  <sheetFormatPr defaultRowHeight="10.199999999999999" x14ac:dyDescent="0.2"/>
  <cols>
    <col min="1" max="1" width="57.7109375" style="3" customWidth="1"/>
    <col min="2" max="2" width="10" style="2" customWidth="1"/>
    <col min="3" max="4" width="17.7109375" style="2" customWidth="1"/>
    <col min="5" max="5" width="16.28515625" style="2" customWidth="1"/>
    <col min="6" max="6" width="15.7109375" style="91" customWidth="1"/>
    <col min="7" max="7" width="18.28515625" style="91" customWidth="1"/>
    <col min="8" max="8" width="16.28515625" style="2" customWidth="1"/>
    <col min="9" max="9" width="15.7109375" style="91" customWidth="1"/>
    <col min="10" max="10" width="18.28515625" style="2" customWidth="1"/>
  </cols>
  <sheetData>
    <row r="1" spans="1:13" s="3" customFormat="1" ht="43.5" customHeight="1" x14ac:dyDescent="0.2">
      <c r="A1" s="1097" t="str">
        <f>'t1'!A1</f>
        <v>AFAM - anno 2023</v>
      </c>
      <c r="B1" s="1097"/>
      <c r="C1" s="1097"/>
      <c r="D1" s="1097"/>
      <c r="E1" s="1097"/>
      <c r="F1" s="1097"/>
      <c r="G1" s="1097"/>
      <c r="H1" s="1097"/>
      <c r="I1" s="1097"/>
      <c r="J1" s="1097"/>
      <c r="M1"/>
    </row>
    <row r="2" spans="1:13" s="3" customFormat="1" ht="12.75" customHeight="1" x14ac:dyDescent="0.2">
      <c r="D2" s="1207"/>
      <c r="E2" s="1207"/>
      <c r="F2" s="1207"/>
      <c r="G2" s="1207"/>
      <c r="H2" s="1207"/>
      <c r="I2" s="1207"/>
      <c r="J2" s="1207"/>
      <c r="M2"/>
    </row>
    <row r="3" spans="1:13" s="3" customFormat="1" ht="21" customHeight="1" x14ac:dyDescent="0.25">
      <c r="A3" s="161" t="s">
        <v>358</v>
      </c>
      <c r="B3" s="2"/>
      <c r="C3" s="2"/>
    </row>
    <row r="4" spans="1:13" ht="30.6" x14ac:dyDescent="0.2">
      <c r="A4" s="149" t="s">
        <v>195</v>
      </c>
      <c r="B4" s="150" t="s">
        <v>158</v>
      </c>
      <c r="C4" s="495" t="s">
        <v>249</v>
      </c>
      <c r="D4" s="150" t="s">
        <v>256</v>
      </c>
      <c r="E4" s="495" t="s">
        <v>351</v>
      </c>
      <c r="F4" s="495" t="s">
        <v>357</v>
      </c>
      <c r="G4" s="150" t="s">
        <v>301</v>
      </c>
      <c r="H4" s="495" t="s">
        <v>352</v>
      </c>
      <c r="I4" s="495" t="s">
        <v>357</v>
      </c>
      <c r="J4" s="495" t="s">
        <v>353</v>
      </c>
    </row>
    <row r="5" spans="1:13" s="164" customFormat="1" x14ac:dyDescent="0.2">
      <c r="A5" s="148"/>
      <c r="B5" s="159"/>
      <c r="C5" s="159" t="s">
        <v>160</v>
      </c>
      <c r="D5" s="159" t="s">
        <v>161</v>
      </c>
      <c r="E5" s="159" t="s">
        <v>349</v>
      </c>
      <c r="F5" s="159" t="s">
        <v>355</v>
      </c>
      <c r="G5" s="159" t="s">
        <v>164</v>
      </c>
      <c r="H5" s="159" t="s">
        <v>350</v>
      </c>
      <c r="I5" s="159" t="s">
        <v>356</v>
      </c>
      <c r="J5" s="159"/>
    </row>
    <row r="6" spans="1:13" ht="13.2" x14ac:dyDescent="0.25">
      <c r="A6" s="109" t="str">
        <f>'t1'!A6</f>
        <v>PROFESSORI DI PRIMA FASCIA</v>
      </c>
      <c r="B6" s="88" t="str">
        <f>'t1'!B6</f>
        <v>018P01</v>
      </c>
      <c r="C6" s="296">
        <f>'t13'!U6</f>
        <v>652118</v>
      </c>
      <c r="D6" s="296">
        <f>'t13'!R6</f>
        <v>3859</v>
      </c>
      <c r="E6" s="298">
        <f>IF($C6=0," ",IF(D6=0," ",D6/$C6))</f>
        <v>5.8999999999999999E-3</v>
      </c>
      <c r="F6" s="278" t="str">
        <f>IF($C6=0," ",IF(D6=0," ",IF(E6&gt;0.2,"ERRORE","OK")))</f>
        <v>OK</v>
      </c>
      <c r="G6" s="296">
        <f>'t13'!S6</f>
        <v>54364</v>
      </c>
      <c r="H6" s="298">
        <f>IF($C6=0," ",IF(G6=0," ",G6/$C6))</f>
        <v>8.3400000000000002E-2</v>
      </c>
      <c r="I6" s="278" t="str">
        <f>IF($C6=0," ",IF(G6=0," ",IF(H6&gt;0.2,"ERRORE","OK")))</f>
        <v>OK</v>
      </c>
      <c r="J6" s="315" t="str">
        <f>IF(OR(F6="ERRORE",I6="ERRORE"),"ERRORE","OK")</f>
        <v>OK</v>
      </c>
    </row>
    <row r="7" spans="1:13" ht="13.2" x14ac:dyDescent="0.25">
      <c r="A7" s="109" t="str">
        <f>'t1'!A7</f>
        <v>DIRETTORE AMMINISTRATIVO EP2</v>
      </c>
      <c r="B7" s="88" t="str">
        <f>'t1'!B7</f>
        <v>013504</v>
      </c>
      <c r="C7" s="296">
        <f>'t13'!U7</f>
        <v>0</v>
      </c>
      <c r="D7" s="296">
        <f>'t13'!R7</f>
        <v>0</v>
      </c>
      <c r="E7" s="298" t="str">
        <f t="shared" ref="E7:E17" si="0">IF($C7=0," ",IF(D7=0," ",D7/$C7))</f>
        <v xml:space="preserve"> </v>
      </c>
      <c r="F7" s="278" t="str">
        <f t="shared" ref="F7:F17" si="1">IF($C7=0," ",IF(D7=0," ",IF(E7&gt;0.2,"ERRORE","OK")))</f>
        <v xml:space="preserve"> </v>
      </c>
      <c r="G7" s="296">
        <f>'t13'!S7</f>
        <v>0</v>
      </c>
      <c r="H7" s="298" t="str">
        <f t="shared" ref="H7:H17" si="2">IF($C7=0," ",IF(G7=0," ",G7/$C7))</f>
        <v xml:space="preserve"> </v>
      </c>
      <c r="I7" s="278" t="str">
        <f t="shared" ref="I7:I17" si="3">IF($C7=0," ",IF(G7=0," ",IF(H7&gt;0.2,"ERRORE","OK")))</f>
        <v xml:space="preserve"> </v>
      </c>
      <c r="J7" s="315" t="str">
        <f t="shared" ref="J7:J17" si="4">IF(OR(F7="ERRORE",I7="ERRORE"),"ERRORE","OK")</f>
        <v>OK</v>
      </c>
    </row>
    <row r="8" spans="1:13" ht="13.2" x14ac:dyDescent="0.25">
      <c r="A8" s="109" t="str">
        <f>'t1'!A8</f>
        <v>DIRETTORE DELL UFFICIO DI RAGIONERIA (EP1)</v>
      </c>
      <c r="B8" s="88" t="str">
        <f>'t1'!B8</f>
        <v>013159</v>
      </c>
      <c r="C8" s="296">
        <f>'t13'!U8</f>
        <v>0</v>
      </c>
      <c r="D8" s="296">
        <f>'t13'!R8</f>
        <v>0</v>
      </c>
      <c r="E8" s="298" t="str">
        <f t="shared" si="0"/>
        <v xml:space="preserve"> </v>
      </c>
      <c r="F8" s="278" t="str">
        <f t="shared" si="1"/>
        <v xml:space="preserve"> </v>
      </c>
      <c r="G8" s="296">
        <f>'t13'!S8</f>
        <v>0</v>
      </c>
      <c r="H8" s="298" t="str">
        <f t="shared" si="2"/>
        <v xml:space="preserve"> </v>
      </c>
      <c r="I8" s="278" t="str">
        <f t="shared" si="3"/>
        <v xml:space="preserve"> </v>
      </c>
      <c r="J8" s="315" t="str">
        <f t="shared" si="4"/>
        <v>OK</v>
      </c>
    </row>
    <row r="9" spans="1:13" ht="13.2" x14ac:dyDescent="0.25">
      <c r="A9" s="109" t="str">
        <f>'t1'!A9</f>
        <v>COLLABORATORE AREA III</v>
      </c>
      <c r="B9" s="88" t="str">
        <f>'t1'!B9</f>
        <v>013CTE</v>
      </c>
      <c r="C9" s="296">
        <f>'t13'!U9</f>
        <v>4183</v>
      </c>
      <c r="D9" s="296">
        <f>'t13'!R9</f>
        <v>0</v>
      </c>
      <c r="E9" s="298" t="str">
        <f t="shared" si="0"/>
        <v xml:space="preserve"> </v>
      </c>
      <c r="F9" s="278" t="str">
        <f t="shared" si="1"/>
        <v xml:space="preserve"> </v>
      </c>
      <c r="G9" s="296">
        <f>'t13'!S9</f>
        <v>2200</v>
      </c>
      <c r="H9" s="298">
        <f t="shared" si="2"/>
        <v>0.52590000000000003</v>
      </c>
      <c r="I9" s="278" t="str">
        <f t="shared" si="3"/>
        <v>ERRORE</v>
      </c>
      <c r="J9" s="315" t="str">
        <f t="shared" si="4"/>
        <v>ERRORE</v>
      </c>
    </row>
    <row r="10" spans="1:13" ht="13.2" x14ac:dyDescent="0.25">
      <c r="A10" s="109" t="str">
        <f>'t1'!A10</f>
        <v>ASSISTENTE AREA II</v>
      </c>
      <c r="B10" s="88" t="str">
        <f>'t1'!B10</f>
        <v>012117</v>
      </c>
      <c r="C10" s="296">
        <f>'t13'!U10</f>
        <v>194996</v>
      </c>
      <c r="D10" s="296">
        <f>'t13'!R10</f>
        <v>1</v>
      </c>
      <c r="E10" s="298">
        <f t="shared" si="0"/>
        <v>0</v>
      </c>
      <c r="F10" s="278" t="str">
        <f t="shared" si="1"/>
        <v>OK</v>
      </c>
      <c r="G10" s="296">
        <f>'t13'!S10</f>
        <v>25560</v>
      </c>
      <c r="H10" s="298">
        <f t="shared" si="2"/>
        <v>0.13109999999999999</v>
      </c>
      <c r="I10" s="278" t="str">
        <f t="shared" si="3"/>
        <v>OK</v>
      </c>
      <c r="J10" s="315" t="str">
        <f t="shared" si="4"/>
        <v>OK</v>
      </c>
    </row>
    <row r="11" spans="1:13" ht="13.2" x14ac:dyDescent="0.25">
      <c r="A11" s="109" t="str">
        <f>'t1'!A11</f>
        <v>COADIUTORE AREA I</v>
      </c>
      <c r="B11" s="88" t="str">
        <f>'t1'!B11</f>
        <v>011121</v>
      </c>
      <c r="C11" s="296">
        <f>'t13'!U11</f>
        <v>68580</v>
      </c>
      <c r="D11" s="296">
        <f>'t13'!R11</f>
        <v>3083</v>
      </c>
      <c r="E11" s="298">
        <f t="shared" si="0"/>
        <v>4.4999999999999998E-2</v>
      </c>
      <c r="F11" s="278" t="str">
        <f t="shared" si="1"/>
        <v>OK</v>
      </c>
      <c r="G11" s="296">
        <f>'t13'!S11</f>
        <v>25163</v>
      </c>
      <c r="H11" s="298">
        <f t="shared" si="2"/>
        <v>0.3669</v>
      </c>
      <c r="I11" s="278" t="str">
        <f t="shared" si="3"/>
        <v>ERRORE</v>
      </c>
      <c r="J11" s="315" t="str">
        <f t="shared" si="4"/>
        <v>ERRORE</v>
      </c>
    </row>
    <row r="12" spans="1:13" ht="13.2" x14ac:dyDescent="0.25">
      <c r="A12" s="109" t="str">
        <f>'t1'!A12</f>
        <v>PROFESSORI DI PRIMA FASCIA TEMPO DET.ANNUALE</v>
      </c>
      <c r="B12" s="88" t="str">
        <f>'t1'!B12</f>
        <v>018PD1</v>
      </c>
      <c r="C12" s="296">
        <f>'t13'!U12</f>
        <v>46524</v>
      </c>
      <c r="D12" s="296">
        <f>'t13'!R12</f>
        <v>308</v>
      </c>
      <c r="E12" s="298">
        <f t="shared" si="0"/>
        <v>6.6E-3</v>
      </c>
      <c r="F12" s="278" t="str">
        <f t="shared" si="1"/>
        <v>OK</v>
      </c>
      <c r="G12" s="296">
        <f>'t13'!S12</f>
        <v>15936</v>
      </c>
      <c r="H12" s="298">
        <f t="shared" si="2"/>
        <v>0.34250000000000003</v>
      </c>
      <c r="I12" s="278" t="str">
        <f t="shared" si="3"/>
        <v>ERRORE</v>
      </c>
      <c r="J12" s="315" t="str">
        <f t="shared" si="4"/>
        <v>ERRORE</v>
      </c>
    </row>
    <row r="13" spans="1:13" ht="13.2" x14ac:dyDescent="0.25">
      <c r="A13" s="109" t="str">
        <f>'t1'!A13</f>
        <v>DIRETTORE AMMINISTRATIVO TEMPO DET.ANNUALE (EP2)</v>
      </c>
      <c r="B13" s="88" t="str">
        <f>'t1'!B13</f>
        <v>013EP2</v>
      </c>
      <c r="C13" s="296">
        <f>'t13'!U13</f>
        <v>2942</v>
      </c>
      <c r="D13" s="296">
        <f>'t13'!R13</f>
        <v>0</v>
      </c>
      <c r="E13" s="298" t="str">
        <f t="shared" si="0"/>
        <v xml:space="preserve"> </v>
      </c>
      <c r="F13" s="278" t="str">
        <f t="shared" si="1"/>
        <v xml:space="preserve"> </v>
      </c>
      <c r="G13" s="296">
        <f>'t13'!S13</f>
        <v>2203</v>
      </c>
      <c r="H13" s="298">
        <f t="shared" si="2"/>
        <v>0.74880000000000002</v>
      </c>
      <c r="I13" s="278" t="str">
        <f t="shared" si="3"/>
        <v>ERRORE</v>
      </c>
      <c r="J13" s="315" t="str">
        <f t="shared" si="4"/>
        <v>ERRORE</v>
      </c>
    </row>
    <row r="14" spans="1:13" ht="13.2" x14ac:dyDescent="0.25">
      <c r="A14" s="109" t="str">
        <f>'t1'!A14</f>
        <v>DIRETTORE DELL UFFICIO DI RAGIONERIA TEMPO DET.ANNUALE (EP1)</v>
      </c>
      <c r="B14" s="88" t="str">
        <f>'t1'!B14</f>
        <v>013160</v>
      </c>
      <c r="C14" s="296">
        <f>'t13'!U14</f>
        <v>1089</v>
      </c>
      <c r="D14" s="296">
        <f>'t13'!R14</f>
        <v>0</v>
      </c>
      <c r="E14" s="298" t="str">
        <f t="shared" si="0"/>
        <v xml:space="preserve"> </v>
      </c>
      <c r="F14" s="278" t="str">
        <f t="shared" si="1"/>
        <v xml:space="preserve"> </v>
      </c>
      <c r="G14" s="296">
        <f>'t13'!S14</f>
        <v>424</v>
      </c>
      <c r="H14" s="298">
        <f t="shared" si="2"/>
        <v>0.38929999999999998</v>
      </c>
      <c r="I14" s="278" t="str">
        <f t="shared" si="3"/>
        <v>ERRORE</v>
      </c>
      <c r="J14" s="315" t="str">
        <f t="shared" si="4"/>
        <v>ERRORE</v>
      </c>
    </row>
    <row r="15" spans="1:13" ht="13.2" x14ac:dyDescent="0.25">
      <c r="A15" s="109" t="str">
        <f>'t1'!A15</f>
        <v>COLLABORATORE AREA III TEMPO DET. ANNUALE</v>
      </c>
      <c r="B15" s="88" t="str">
        <f>'t1'!B15</f>
        <v>013CDE</v>
      </c>
      <c r="C15" s="296">
        <f>'t13'!U15</f>
        <v>0</v>
      </c>
      <c r="D15" s="296">
        <f>'t13'!R15</f>
        <v>0</v>
      </c>
      <c r="E15" s="298" t="str">
        <f t="shared" si="0"/>
        <v xml:space="preserve"> </v>
      </c>
      <c r="F15" s="278" t="str">
        <f t="shared" si="1"/>
        <v xml:space="preserve"> </v>
      </c>
      <c r="G15" s="296">
        <f>'t13'!S15</f>
        <v>0</v>
      </c>
      <c r="H15" s="298" t="str">
        <f t="shared" si="2"/>
        <v xml:space="preserve"> </v>
      </c>
      <c r="I15" s="278" t="str">
        <f t="shared" si="3"/>
        <v xml:space="preserve"> </v>
      </c>
      <c r="J15" s="315" t="str">
        <f t="shared" si="4"/>
        <v>OK</v>
      </c>
    </row>
    <row r="16" spans="1:13" ht="13.2" x14ac:dyDescent="0.25">
      <c r="A16" s="109" t="str">
        <f>'t1'!A16</f>
        <v>ASSISTENTE AREA II TEMPO DET. ANNUALE</v>
      </c>
      <c r="B16" s="88" t="str">
        <f>'t1'!B16</f>
        <v>012118</v>
      </c>
      <c r="C16" s="296">
        <f>'t13'!U16</f>
        <v>22277</v>
      </c>
      <c r="D16" s="296">
        <f>'t13'!R16</f>
        <v>0</v>
      </c>
      <c r="E16" s="298" t="str">
        <f t="shared" si="0"/>
        <v xml:space="preserve"> </v>
      </c>
      <c r="F16" s="278" t="str">
        <f t="shared" si="1"/>
        <v xml:space="preserve"> </v>
      </c>
      <c r="G16" s="296">
        <f>'t13'!S16</f>
        <v>15126</v>
      </c>
      <c r="H16" s="298">
        <f t="shared" si="2"/>
        <v>0.67900000000000005</v>
      </c>
      <c r="I16" s="278" t="str">
        <f t="shared" si="3"/>
        <v>ERRORE</v>
      </c>
      <c r="J16" s="315" t="str">
        <f t="shared" si="4"/>
        <v>ERRORE</v>
      </c>
    </row>
    <row r="17" spans="1:10" ht="13.2" x14ac:dyDescent="0.25">
      <c r="A17" s="109" t="str">
        <f>'t1'!A17</f>
        <v>COADIUTORE AREA I TEMPO DET.ANNUALE</v>
      </c>
      <c r="B17" s="88" t="str">
        <f>'t1'!B17</f>
        <v>011124</v>
      </c>
      <c r="C17" s="296">
        <f>'t13'!U17</f>
        <v>26980</v>
      </c>
      <c r="D17" s="296">
        <f>'t13'!R17</f>
        <v>0</v>
      </c>
      <c r="E17" s="298" t="str">
        <f t="shared" si="0"/>
        <v xml:space="preserve"> </v>
      </c>
      <c r="F17" s="278" t="str">
        <f t="shared" si="1"/>
        <v xml:space="preserve"> </v>
      </c>
      <c r="G17" s="296">
        <f>'t13'!S17</f>
        <v>14126</v>
      </c>
      <c r="H17" s="298">
        <f t="shared" si="2"/>
        <v>0.52359999999999995</v>
      </c>
      <c r="I17" s="278" t="str">
        <f t="shared" si="3"/>
        <v>ERRORE</v>
      </c>
      <c r="J17" s="315" t="str">
        <f t="shared" si="4"/>
        <v>ERRORE</v>
      </c>
    </row>
  </sheetData>
  <sheetProtection password="DD41" sheet="1" formatColumns="0" selectLockedCells="1" selectUnlockedCells="1"/>
  <mergeCells count="2">
    <mergeCell ref="A1:J1"/>
    <mergeCell ref="D2:J2"/>
  </mergeCells>
  <printOptions horizontalCentered="1"/>
  <pageMargins left="0.23622047244094491" right="0.23622047244094491" top="0.19685039370078741" bottom="0.15748031496062992" header="0.15748031496062992" footer="0.15748031496062992"/>
  <pageSetup paperSize="9" scale="85" orientation="landscape" horizontalDpi="0" verticalDpi="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L12"/>
  <sheetViews>
    <sheetView showGridLines="0" workbookViewId="0">
      <selection activeCell="A4" sqref="A4"/>
    </sheetView>
  </sheetViews>
  <sheetFormatPr defaultRowHeight="10.199999999999999" x14ac:dyDescent="0.2"/>
  <cols>
    <col min="1" max="1" width="37.7109375" style="3" customWidth="1"/>
    <col min="2" max="2" width="8.42578125" style="2" hidden="1" customWidth="1"/>
    <col min="3" max="5" width="12.7109375" style="3" customWidth="1"/>
    <col min="6" max="6" width="1.7109375" style="3" customWidth="1"/>
    <col min="7" max="9" width="12.7109375" style="455" customWidth="1"/>
    <col min="10" max="10" width="1.7109375" customWidth="1"/>
    <col min="11" max="12" width="14.7109375" customWidth="1"/>
  </cols>
  <sheetData>
    <row r="1" spans="1:12" ht="32.700000000000003" customHeight="1" x14ac:dyDescent="0.2">
      <c r="A1" s="1257" t="str">
        <f>'t1'!A1</f>
        <v>AFAM - anno 2023</v>
      </c>
      <c r="B1" s="1257"/>
      <c r="C1" s="1257"/>
      <c r="D1" s="1257"/>
      <c r="E1" s="1257"/>
      <c r="F1" s="1257"/>
      <c r="G1" s="1257"/>
      <c r="H1" s="1257"/>
      <c r="I1" s="1257"/>
      <c r="J1" s="1257"/>
      <c r="K1" s="1257"/>
    </row>
    <row r="2" spans="1:12" ht="42" customHeight="1" thickBot="1" x14ac:dyDescent="0.3">
      <c r="A2" s="1258" t="s">
        <v>506</v>
      </c>
      <c r="B2" s="1258"/>
      <c r="C2" s="1258"/>
      <c r="D2" s="1258"/>
      <c r="E2" s="1258"/>
      <c r="F2" s="1258"/>
      <c r="G2" s="1258"/>
      <c r="H2" s="1258"/>
      <c r="I2" s="1258"/>
      <c r="J2" s="1258"/>
      <c r="K2" s="1258"/>
      <c r="L2" s="1258"/>
    </row>
    <row r="3" spans="1:12" ht="30.6" customHeight="1" x14ac:dyDescent="0.2">
      <c r="A3" s="644" t="s">
        <v>84</v>
      </c>
      <c r="B3" s="645" t="s">
        <v>52</v>
      </c>
      <c r="C3" s="1259" t="s">
        <v>507</v>
      </c>
      <c r="D3" s="1260"/>
      <c r="E3" s="1261"/>
      <c r="F3" s="646"/>
      <c r="G3" s="1262" t="s">
        <v>508</v>
      </c>
      <c r="H3" s="1263"/>
      <c r="I3" s="1264"/>
      <c r="K3" s="1262" t="s">
        <v>509</v>
      </c>
      <c r="L3" s="1264"/>
    </row>
    <row r="4" spans="1:12" ht="13.2" x14ac:dyDescent="0.25">
      <c r="A4" s="647"/>
      <c r="B4" s="648"/>
      <c r="C4" s="649" t="s">
        <v>53</v>
      </c>
      <c r="D4" s="650" t="s">
        <v>54</v>
      </c>
      <c r="E4" s="651" t="s">
        <v>510</v>
      </c>
      <c r="F4" s="652"/>
      <c r="G4" s="649" t="s">
        <v>53</v>
      </c>
      <c r="H4" s="650" t="s">
        <v>54</v>
      </c>
      <c r="I4" s="651" t="s">
        <v>510</v>
      </c>
      <c r="J4" s="164"/>
      <c r="K4" s="649" t="s">
        <v>53</v>
      </c>
      <c r="L4" s="651" t="s">
        <v>54</v>
      </c>
    </row>
    <row r="5" spans="1:12" ht="13.2" x14ac:dyDescent="0.25">
      <c r="A5" s="653"/>
      <c r="B5" s="654"/>
      <c r="C5" s="655" t="s">
        <v>160</v>
      </c>
      <c r="D5" s="537" t="s">
        <v>161</v>
      </c>
      <c r="E5" s="656" t="s">
        <v>162</v>
      </c>
      <c r="F5" s="657"/>
      <c r="G5" s="658" t="s">
        <v>163</v>
      </c>
      <c r="H5" s="537" t="s">
        <v>164</v>
      </c>
      <c r="I5" s="656" t="s">
        <v>184</v>
      </c>
      <c r="K5" s="658" t="s">
        <v>511</v>
      </c>
      <c r="L5" s="656" t="s">
        <v>512</v>
      </c>
    </row>
    <row r="6" spans="1:12" ht="13.2" x14ac:dyDescent="0.25">
      <c r="A6" s="659" t="str">
        <f>'t2'!A6</f>
        <v>PROFESSORI</v>
      </c>
      <c r="B6" s="660" t="str">
        <f>'t2'!B6</f>
        <v>PR</v>
      </c>
      <c r="C6" s="661">
        <f>'t2'!C6</f>
        <v>15</v>
      </c>
      <c r="D6" s="662">
        <f>'t2'!D6</f>
        <v>7</v>
      </c>
      <c r="E6" s="663">
        <f>SUM(C6:D6)</f>
        <v>22</v>
      </c>
      <c r="F6" s="657"/>
      <c r="G6" s="664">
        <f>t2A!D12+t2A!F12+t2A!H12+t2A!J12+t2A!L12+t2A!N12+t2A!P12+t2A!R12</f>
        <v>15</v>
      </c>
      <c r="H6" s="665">
        <f>t2A!E12+t2A!G12+t2A!I12+t2A!K12+t2A!M12+t2A!O12+t2A!Q12+t2A!S12</f>
        <v>7</v>
      </c>
      <c r="I6" s="666">
        <f>SUM(G6:H6)</f>
        <v>22</v>
      </c>
      <c r="K6" s="667" t="str">
        <f t="shared" ref="K6:L8" si="0">IF(C6&gt;0,IF(G6&gt;0,"OK","Manca T2A"),IF(C6=0,IF(G6=0,"OK","Manca T2"),"orrore"))</f>
        <v>OK</v>
      </c>
      <c r="L6" s="668" t="str">
        <f t="shared" si="0"/>
        <v>OK</v>
      </c>
    </row>
    <row r="7" spans="1:12" ht="13.2" x14ac:dyDescent="0.25">
      <c r="A7" s="659" t="str">
        <f>'t2'!A7</f>
        <v>PERSONALE ELEVATE PROFESSIONALITA'</v>
      </c>
      <c r="B7" s="660" t="str">
        <f>'t2'!B7</f>
        <v>EP</v>
      </c>
      <c r="C7" s="661">
        <f>'t2'!C7</f>
        <v>0</v>
      </c>
      <c r="D7" s="662">
        <f>'t2'!D7</f>
        <v>0</v>
      </c>
      <c r="E7" s="663">
        <f>SUM(C7:D7)</f>
        <v>0</v>
      </c>
      <c r="F7" s="657"/>
      <c r="G7" s="664">
        <f>t2A!D13+t2A!F13+t2A!H13+t2A!J13+t2A!L13+t2A!N13+t2A!P13+t2A!R13</f>
        <v>0</v>
      </c>
      <c r="H7" s="665">
        <f>t2A!E13+t2A!G13+t2A!I13+t2A!K13+t2A!M13+t2A!O13+t2A!Q13+t2A!S13</f>
        <v>0</v>
      </c>
      <c r="I7" s="666">
        <f>SUM(G7:H7)</f>
        <v>0</v>
      </c>
      <c r="K7" s="667" t="str">
        <f t="shared" si="0"/>
        <v>OK</v>
      </c>
      <c r="L7" s="668" t="str">
        <f t="shared" si="0"/>
        <v>OK</v>
      </c>
    </row>
    <row r="8" spans="1:12" ht="13.8" thickBot="1" x14ac:dyDescent="0.3">
      <c r="A8" s="659" t="str">
        <f>'t2'!A8</f>
        <v>PERSONALE DELLE AREE</v>
      </c>
      <c r="B8" s="660" t="str">
        <f>'t2'!B8</f>
        <v>PA</v>
      </c>
      <c r="C8" s="661">
        <f>'t2'!C8</f>
        <v>0</v>
      </c>
      <c r="D8" s="662">
        <f>'t2'!D8</f>
        <v>0</v>
      </c>
      <c r="E8" s="674">
        <f>SUM(C8:D8)</f>
        <v>0</v>
      </c>
      <c r="F8" s="657"/>
      <c r="G8" s="664">
        <f>t2A!D14+t2A!F14+t2A!H14+t2A!J14+t2A!L14+t2A!N14+t2A!P14+t2A!R14</f>
        <v>0</v>
      </c>
      <c r="H8" s="665">
        <f>t2A!E14+t2A!G14+t2A!I14+t2A!K14+t2A!M14+t2A!O14+t2A!Q14+t2A!S14</f>
        <v>0</v>
      </c>
      <c r="I8" s="666">
        <f>SUM(G8:H8)</f>
        <v>0</v>
      </c>
      <c r="K8" s="667" t="str">
        <f t="shared" si="0"/>
        <v>OK</v>
      </c>
      <c r="L8" s="668" t="str">
        <f t="shared" si="0"/>
        <v>OK</v>
      </c>
    </row>
    <row r="9" spans="1:12" ht="13.8" thickBot="1" x14ac:dyDescent="0.3">
      <c r="A9" s="669" t="s">
        <v>55</v>
      </c>
      <c r="B9" s="670"/>
      <c r="C9" s="675">
        <f>SUM(C6:C8)</f>
        <v>15</v>
      </c>
      <c r="D9" s="676">
        <f>SUM(D6:D8)</f>
        <v>7</v>
      </c>
      <c r="E9" s="676">
        <f>SUM(C9:D9)</f>
        <v>22</v>
      </c>
      <c r="G9" s="671">
        <f>SUM(G6:G8)</f>
        <v>15</v>
      </c>
      <c r="H9" s="671">
        <f>SUM(H6:H8)</f>
        <v>7</v>
      </c>
      <c r="I9" s="672">
        <f>SUM(G9:H9)</f>
        <v>22</v>
      </c>
      <c r="K9" s="673" t="str">
        <f>IF(COUNTIF(K6:K8,"OK")=3,"OK","Errore")</f>
        <v>OK</v>
      </c>
      <c r="L9" s="670" t="str">
        <f>IF(COUNTIF(L6:L8,"OK")=3,"OK","Errore")</f>
        <v>OK</v>
      </c>
    </row>
    <row r="10" spans="1:12" x14ac:dyDescent="0.2">
      <c r="A10" s="6"/>
    </row>
    <row r="12" spans="1:12" ht="13.2" x14ac:dyDescent="0.25">
      <c r="A12" s="1256" t="str">
        <f>IF('t2'!$AK$3=1,"La squadratura non viene calcolata perché sulla Tabella 2 è stato segnalato che il personale è cessato al 31/12","")</f>
        <v/>
      </c>
      <c r="B12" s="1256"/>
      <c r="C12" s="1256"/>
      <c r="D12" s="1256"/>
      <c r="E12" s="1256"/>
      <c r="F12" s="1256"/>
      <c r="G12" s="1256"/>
      <c r="H12" s="1256"/>
      <c r="I12" s="1256"/>
      <c r="J12" s="1256"/>
      <c r="K12" s="1256"/>
      <c r="L12" s="1256"/>
    </row>
  </sheetData>
  <sheetProtection password="DD41" sheet="1" formatColumns="0" selectLockedCells="1" selectUnlockedCells="1"/>
  <mergeCells count="6">
    <mergeCell ref="A12:L12"/>
    <mergeCell ref="A1:K1"/>
    <mergeCell ref="A2:L2"/>
    <mergeCell ref="C3:E3"/>
    <mergeCell ref="G3:I3"/>
    <mergeCell ref="K3:L3"/>
  </mergeCells>
  <dataValidations count="1">
    <dataValidation type="whole" allowBlank="1" showInputMessage="1" showErrorMessage="1" errorTitle="ERRORE" error="INSERIRE SOLO NUMERI INTERI COMPRESI TRA 0 E 9999999" sqref="G6:H9" xr:uid="{00000000-0002-0000-2200-000000000000}">
      <formula1>0</formula1>
      <formula2>9999999</formula2>
    </dataValidation>
  </dataValidations>
  <pageMargins left="0.7" right="0.7" top="0.75" bottom="0.75"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glio40"/>
  <dimension ref="A1:M20"/>
  <sheetViews>
    <sheetView showGridLines="0" topLeftCell="A10" workbookViewId="0">
      <selection activeCell="E3" sqref="E3"/>
    </sheetView>
  </sheetViews>
  <sheetFormatPr defaultColWidth="9.28515625" defaultRowHeight="10.199999999999999" x14ac:dyDescent="0.2"/>
  <cols>
    <col min="1" max="1" width="78.7109375" style="3" customWidth="1"/>
    <col min="2" max="3" width="19.7109375" style="3" customWidth="1"/>
    <col min="4" max="4" width="26.7109375" style="3" customWidth="1"/>
    <col min="5" max="5" width="25.140625" style="3" customWidth="1"/>
    <col min="6" max="16384" width="9.28515625" style="3"/>
  </cols>
  <sheetData>
    <row r="1" spans="1:13" ht="34.200000000000003" customHeight="1" x14ac:dyDescent="0.2">
      <c r="A1" s="1097" t="str">
        <f>'t1'!A1</f>
        <v>AFAM - anno 2023</v>
      </c>
      <c r="B1" s="1097"/>
      <c r="C1" s="1097"/>
      <c r="D1" s="1097"/>
      <c r="E1" s="588"/>
      <c r="F1" s="271"/>
      <c r="G1" s="271"/>
      <c r="H1" s="271"/>
      <c r="I1" s="271"/>
      <c r="M1"/>
    </row>
    <row r="2" spans="1:13" ht="16.2" thickBot="1" x14ac:dyDescent="0.25">
      <c r="A2" s="1268" t="s">
        <v>626</v>
      </c>
      <c r="B2" s="1268"/>
      <c r="C2" s="1268"/>
      <c r="D2" s="1268"/>
      <c r="E2" s="272"/>
      <c r="F2" s="272"/>
      <c r="G2" s="272"/>
      <c r="H2" s="272"/>
      <c r="I2" s="272"/>
      <c r="M2"/>
    </row>
    <row r="3" spans="1:13" ht="33" customHeight="1" thickBot="1" x14ac:dyDescent="0.3">
      <c r="A3" s="1265" t="s">
        <v>534</v>
      </c>
      <c r="B3" s="1266"/>
      <c r="C3" s="1266"/>
      <c r="D3" s="1267"/>
      <c r="E3" s="589"/>
    </row>
    <row r="4" spans="1:13" s="162" customFormat="1" ht="31.2" thickBot="1" x14ac:dyDescent="0.25">
      <c r="A4" s="542" t="s">
        <v>450</v>
      </c>
      <c r="B4" s="543" t="s">
        <v>451</v>
      </c>
      <c r="C4" s="543" t="s">
        <v>452</v>
      </c>
      <c r="D4" s="544" t="s">
        <v>453</v>
      </c>
    </row>
    <row r="5" spans="1:13" ht="39" customHeight="1" x14ac:dyDescent="0.2">
      <c r="A5" s="590" t="str">
        <f>SI_1!B85</f>
        <v>Non compilare</v>
      </c>
      <c r="B5" s="591">
        <f>SI_1!G85</f>
        <v>0</v>
      </c>
      <c r="C5" s="591">
        <f>'t1'!K18+'t1'!L18</f>
        <v>151</v>
      </c>
      <c r="D5" s="736" t="str">
        <f>IF(B5&lt;=C5,"OK","Dati incoerenti: controllare i valori")</f>
        <v>OK</v>
      </c>
    </row>
    <row r="6" spans="1:13" ht="39" customHeight="1" x14ac:dyDescent="0.2">
      <c r="A6" s="592" t="str">
        <f>SI_1!B106</f>
        <v>Indicare il numero delle unita rilevate in tabella 1 tra i "presenti al 31.12" che risultavano titolari di permessi per legge n. 104/92.</v>
      </c>
      <c r="B6" s="593">
        <f>SI_1!G106</f>
        <v>7</v>
      </c>
      <c r="C6" s="593">
        <f>'t1'!K18+'t1'!L18</f>
        <v>151</v>
      </c>
      <c r="D6" s="735" t="str">
        <f>IF(B6&lt;=C6,"OK","Dati incoerenti: controllare i valori")</f>
        <v>OK</v>
      </c>
    </row>
    <row r="7" spans="1:13" ht="39" customHeight="1" thickBot="1" x14ac:dyDescent="0.25">
      <c r="A7" s="594" t="str">
        <f>SI_1!B109</f>
        <v>Indicare il numero delle unita rilevate in tabella 1 tra i "presenti al 31.12" che risultavano titolari di permessi ai sensi dell'art. 42, c.5 D.lgs.151/2001.</v>
      </c>
      <c r="B7" s="595">
        <f>SI_1!G109</f>
        <v>1</v>
      </c>
      <c r="C7" s="595">
        <f>'t1'!K18+'t1'!L18</f>
        <v>151</v>
      </c>
      <c r="D7" s="734" t="str">
        <f>IF(B7&lt;=C7,"OK","Dati incoerenti: controllare i valori")</f>
        <v>OK</v>
      </c>
    </row>
    <row r="10" spans="1:13" ht="16.2" thickBot="1" x14ac:dyDescent="0.25">
      <c r="A10" s="731" t="s">
        <v>535</v>
      </c>
      <c r="B10" s="730"/>
      <c r="C10" s="730"/>
      <c r="D10" s="730"/>
      <c r="E10" s="272"/>
      <c r="F10" s="272"/>
      <c r="G10" s="272"/>
      <c r="H10" s="272"/>
      <c r="I10" s="272"/>
      <c r="M10"/>
    </row>
    <row r="11" spans="1:13" ht="32.700000000000003" customHeight="1" thickBot="1" x14ac:dyDescent="0.3">
      <c r="A11" s="1265" t="s">
        <v>536</v>
      </c>
      <c r="B11" s="1266"/>
      <c r="C11" s="1266"/>
      <c r="D11" s="1267"/>
      <c r="E11" s="589"/>
    </row>
    <row r="12" spans="1:13" s="162" customFormat="1" ht="21" thickBot="1" x14ac:dyDescent="0.25">
      <c r="A12" s="596" t="s">
        <v>450</v>
      </c>
      <c r="B12" s="597" t="s">
        <v>451</v>
      </c>
      <c r="C12" s="597" t="s">
        <v>454</v>
      </c>
      <c r="D12" s="598" t="s">
        <v>455</v>
      </c>
    </row>
    <row r="13" spans="1:13" ht="39" customHeight="1" x14ac:dyDescent="0.2">
      <c r="A13" s="599" t="str">
        <f>SI_1!B106</f>
        <v>Indicare il numero delle unita rilevate in tabella 1 tra i "presenti al 31.12" che risultavano titolari di permessi per legge n. 104/92.</v>
      </c>
      <c r="B13" s="593">
        <f>SI_1!G106</f>
        <v>7</v>
      </c>
      <c r="C13" s="600">
        <f>'t11'!I20+'t11'!J20</f>
        <v>156</v>
      </c>
      <c r="D13" s="733" t="str">
        <f>(IF(AND(C13=0,B13&gt;0),"Mancano le assenze per questa causale",IF(AND(C13&gt;0,B13=0),"Dichiarare Unita nella domanda della Scheda Informativa 1","OK")))</f>
        <v>OK</v>
      </c>
    </row>
    <row r="14" spans="1:13" ht="39" customHeight="1" thickBot="1" x14ac:dyDescent="0.25">
      <c r="A14" s="601" t="str">
        <f>SI_1!B109</f>
        <v>Indicare il numero delle unita rilevate in tabella 1 tra i "presenti al 31.12" che risultavano titolari di permessi ai sensi dell'art. 42, c.5 D.lgs.151/2001.</v>
      </c>
      <c r="B14" s="595">
        <f>SI_1!G109</f>
        <v>1</v>
      </c>
      <c r="C14" s="602">
        <f>'t11'!G20+'t11'!H20</f>
        <v>242</v>
      </c>
      <c r="D14" s="734" t="str">
        <f>(IF(AND(C14=0,B14&gt;0),"Mancano le assenze per questa causale",IF(AND(C14&gt;0,B14=0),"Dichiarare Unita nella domanda della Scheda Informativa 1","OK")))</f>
        <v>OK</v>
      </c>
    </row>
    <row r="17" spans="1:13" ht="13.2" customHeight="1" thickBot="1" x14ac:dyDescent="0.35">
      <c r="A17" s="732" t="s">
        <v>537</v>
      </c>
      <c r="B17" s="730"/>
      <c r="C17" s="730"/>
      <c r="D17" s="730"/>
      <c r="E17" s="272"/>
      <c r="F17" s="272"/>
      <c r="G17" s="272"/>
      <c r="H17" s="272"/>
      <c r="I17" s="272"/>
      <c r="M17"/>
    </row>
    <row r="18" spans="1:13" ht="31.2" customHeight="1" thickBot="1" x14ac:dyDescent="0.3">
      <c r="A18" s="1265" t="s">
        <v>538</v>
      </c>
      <c r="B18" s="1266"/>
      <c r="C18" s="1266"/>
      <c r="D18" s="1267"/>
      <c r="E18" s="589"/>
    </row>
    <row r="19" spans="1:13" ht="21" thickBot="1" x14ac:dyDescent="0.25">
      <c r="A19" s="596" t="s">
        <v>450</v>
      </c>
      <c r="B19" s="597" t="s">
        <v>521</v>
      </c>
      <c r="C19" s="597" t="s">
        <v>454</v>
      </c>
      <c r="D19" s="598" t="s">
        <v>455</v>
      </c>
    </row>
    <row r="20" spans="1:13" ht="37.950000000000003" customHeight="1" thickBot="1" x14ac:dyDescent="0.25">
      <c r="A20" s="601" t="s">
        <v>441</v>
      </c>
      <c r="B20" s="723">
        <f>SI_1!G82</f>
        <v>1254</v>
      </c>
      <c r="C20" s="600">
        <f>'t11'!E20+'t11'!F20</f>
        <v>563</v>
      </c>
      <c r="D20" s="733" t="str">
        <f>(IF(AND(C20=0,B20&gt;0),"Mancano le assenze per questa causale",IF(AND(C20&gt;0,B20=0),"Dichiarare Somme nella domanda della Scheda Informativa 1","OK")))</f>
        <v>OK</v>
      </c>
    </row>
  </sheetData>
  <sheetProtection password="DD41" sheet="1" formatColumns="0" selectLockedCells="1" selectUnlockedCells="1"/>
  <mergeCells count="5">
    <mergeCell ref="A1:D1"/>
    <mergeCell ref="A3:D3"/>
    <mergeCell ref="A11:D11"/>
    <mergeCell ref="A18:D18"/>
    <mergeCell ref="A2:D2"/>
  </mergeCells>
  <conditionalFormatting sqref="D5:D7 D13:D14 D20">
    <cfRule type="notContainsText" dxfId="1" priority="1" stopIfTrue="1" operator="notContains" text="ok">
      <formula>ISERROR(SEARCH("ok",D5))</formula>
    </cfRule>
  </conditionalFormatting>
  <printOptions horizontalCentered="1" verticalCentered="1"/>
  <pageMargins left="0" right="0" top="0.19685039370078741" bottom="0.31496062992125984" header="0.51181102362204722" footer="0.51181102362204722"/>
  <pageSetup paperSize="9" scale="90" orientation="landscape" horizontalDpi="300" verticalDpi="4294967292"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glio44">
    <pageSetUpPr fitToPage="1"/>
  </sheetPr>
  <dimension ref="A1:K17"/>
  <sheetViews>
    <sheetView showGridLines="0" workbookViewId="0">
      <pane xSplit="2" ySplit="5" topLeftCell="C6" activePane="bottomRight" state="frozen"/>
      <selection activeCell="A2" sqref="A2"/>
      <selection pane="topRight" activeCell="A2" sqref="A2"/>
      <selection pane="bottomLeft" activeCell="A2" sqref="A2"/>
      <selection pane="bottomRight" activeCell="A2" sqref="A2"/>
    </sheetView>
  </sheetViews>
  <sheetFormatPr defaultRowHeight="10.199999999999999" x14ac:dyDescent="0.2"/>
  <cols>
    <col min="1" max="1" width="41.42578125" style="3" customWidth="1"/>
    <col min="2" max="2" width="10" style="2" customWidth="1"/>
    <col min="3" max="3" width="11.7109375" style="2" customWidth="1"/>
    <col min="4" max="5" width="14" style="2" customWidth="1"/>
    <col min="6" max="6" width="11.7109375" style="2" customWidth="1"/>
    <col min="7" max="7" width="13.7109375" style="2" customWidth="1"/>
    <col min="8" max="8" width="16.7109375" style="2" hidden="1" customWidth="1"/>
    <col min="9" max="9" width="63.28515625" customWidth="1"/>
  </cols>
  <sheetData>
    <row r="1" spans="1:11" s="3" customFormat="1" ht="43.5" customHeight="1" x14ac:dyDescent="0.2">
      <c r="A1" s="1097" t="str">
        <f>'t1'!A1</f>
        <v>AFAM - anno 2023</v>
      </c>
      <c r="B1" s="1097"/>
      <c r="C1" s="1097"/>
      <c r="D1" s="1097"/>
      <c r="E1" s="1097"/>
      <c r="F1" s="1097"/>
      <c r="G1" s="1097"/>
      <c r="H1" s="1097"/>
      <c r="I1" s="1097"/>
      <c r="K1"/>
    </row>
    <row r="2" spans="1:11" s="3" customFormat="1" ht="12.75" customHeight="1" x14ac:dyDescent="0.2">
      <c r="D2" s="1207"/>
      <c r="E2" s="1207"/>
      <c r="F2" s="1207"/>
      <c r="G2" s="1207"/>
      <c r="H2" s="493"/>
      <c r="K2"/>
    </row>
    <row r="3" spans="1:11" s="3" customFormat="1" ht="43.95" customHeight="1" x14ac:dyDescent="0.25">
      <c r="A3" s="1269" t="s">
        <v>540</v>
      </c>
      <c r="B3" s="1269"/>
      <c r="C3" s="1269"/>
      <c r="D3" s="1269"/>
      <c r="E3" s="1269"/>
      <c r="F3" s="1269"/>
      <c r="G3" s="1269"/>
      <c r="H3" s="1269"/>
      <c r="I3" s="1269"/>
    </row>
    <row r="4" spans="1:11" ht="61.2" x14ac:dyDescent="0.2">
      <c r="A4" s="494" t="s">
        <v>195</v>
      </c>
      <c r="B4" s="495" t="s">
        <v>158</v>
      </c>
      <c r="C4" s="495" t="s">
        <v>32</v>
      </c>
      <c r="D4" s="495" t="s">
        <v>541</v>
      </c>
      <c r="E4" s="495" t="s">
        <v>542</v>
      </c>
      <c r="F4" s="495" t="s">
        <v>34</v>
      </c>
      <c r="G4" s="495" t="s">
        <v>543</v>
      </c>
      <c r="H4" s="495" t="s">
        <v>379</v>
      </c>
      <c r="I4" s="495" t="s">
        <v>364</v>
      </c>
    </row>
    <row r="5" spans="1:11" s="164" customFormat="1" ht="40.799999999999997" hidden="1" x14ac:dyDescent="0.2">
      <c r="A5" s="148"/>
      <c r="B5" s="159"/>
      <c r="C5" s="159" t="s">
        <v>160</v>
      </c>
      <c r="D5" s="159"/>
      <c r="E5" s="159"/>
      <c r="F5" s="159" t="s">
        <v>162</v>
      </c>
      <c r="G5" s="159"/>
      <c r="H5" s="537" t="s">
        <v>445</v>
      </c>
      <c r="I5" s="539"/>
    </row>
    <row r="6" spans="1:11" ht="13.2" x14ac:dyDescent="0.25">
      <c r="A6" s="109" t="str">
        <f>'t1'!A6</f>
        <v>PROFESSORI DI PRIMA FASCIA</v>
      </c>
      <c r="B6" s="88" t="str">
        <f>'t1'!B6</f>
        <v>018P01</v>
      </c>
      <c r="C6" s="737">
        <f>'t11'!W8+'t11'!X8</f>
        <v>944</v>
      </c>
      <c r="D6" s="737">
        <f>(C6-'t11'!Q8-'t11'!R8-'t11'!S8-'t11'!T8-'t11'!U8-'t11'!V8)</f>
        <v>944</v>
      </c>
      <c r="E6" s="738">
        <f>'t12'!C6/12</f>
        <v>91.92</v>
      </c>
      <c r="F6" s="737">
        <f>'t3'!K6+'t3'!L6+'t3'!M6+'t3'!N6+'t3'!O6+'t3'!P6</f>
        <v>0</v>
      </c>
      <c r="G6" s="315" t="str">
        <f t="shared" ref="G6:G17" si="0">IF(H6="OK","OK","ERRORE")</f>
        <v>OK</v>
      </c>
      <c r="H6" s="315" t="str">
        <f t="shared" ref="H6:H17" si="1">IF(((E6+F6)*273)&lt;(D6),"KO","OK")</f>
        <v>OK</v>
      </c>
      <c r="I6" s="540" t="str">
        <f>IF(H6="KO",($H$5&amp;(('t12'!C6/12*273)+(('t3'!K6+'t3'!L6+'t3'!M6+'t3'!N6+'t3'!O6+'t3'!P6)*273))&amp;")"),"")</f>
        <v/>
      </c>
    </row>
    <row r="7" spans="1:11" ht="13.2" x14ac:dyDescent="0.25">
      <c r="A7" s="109" t="str">
        <f>'t1'!A7</f>
        <v>DIRETTORE AMMINISTRATIVO EP2</v>
      </c>
      <c r="B7" s="88" t="str">
        <f>'t1'!B7</f>
        <v>013504</v>
      </c>
      <c r="C7" s="737">
        <f>'t11'!W9+'t11'!X9</f>
        <v>0</v>
      </c>
      <c r="D7" s="737">
        <f>(C7-'t11'!Q9-'t11'!R9-'t11'!S9-'t11'!T9-'t11'!U9-'t11'!V9)</f>
        <v>0</v>
      </c>
      <c r="E7" s="738">
        <f>'t12'!C7/12</f>
        <v>0</v>
      </c>
      <c r="F7" s="737">
        <f>'t3'!K7+'t3'!L7+'t3'!M7+'t3'!N7+'t3'!O7+'t3'!P7</f>
        <v>0</v>
      </c>
      <c r="G7" s="315" t="str">
        <f t="shared" si="0"/>
        <v>OK</v>
      </c>
      <c r="H7" s="315" t="str">
        <f t="shared" si="1"/>
        <v>OK</v>
      </c>
      <c r="I7" s="540" t="str">
        <f>IF(H7="KO",($H$5&amp;(('t12'!C7/12*273)+(('t3'!K7+'t3'!L7+'t3'!M7+'t3'!N7+'t3'!O7+'t3'!P7)*273))&amp;")"),"")</f>
        <v/>
      </c>
    </row>
    <row r="8" spans="1:11" ht="13.2" x14ac:dyDescent="0.25">
      <c r="A8" s="109" t="str">
        <f>'t1'!A8</f>
        <v>DIRETTORE DELL UFFICIO DI RAGIONERIA (EP1)</v>
      </c>
      <c r="B8" s="88" t="str">
        <f>'t1'!B8</f>
        <v>013159</v>
      </c>
      <c r="C8" s="737">
        <f>'t11'!W10+'t11'!X10</f>
        <v>0</v>
      </c>
      <c r="D8" s="737">
        <f>(C8-'t11'!Q10-'t11'!R10-'t11'!S10-'t11'!T10-'t11'!U10-'t11'!V10)</f>
        <v>0</v>
      </c>
      <c r="E8" s="738">
        <f>'t12'!C8/12</f>
        <v>0</v>
      </c>
      <c r="F8" s="737">
        <f>'t3'!K8+'t3'!L8+'t3'!M8+'t3'!N8+'t3'!O8+'t3'!P8</f>
        <v>0</v>
      </c>
      <c r="G8" s="315" t="str">
        <f t="shared" si="0"/>
        <v>OK</v>
      </c>
      <c r="H8" s="315" t="str">
        <f t="shared" si="1"/>
        <v>OK</v>
      </c>
      <c r="I8" s="540" t="str">
        <f>IF(H8="KO",($H$5&amp;(('t12'!C8/12*273)+(('t3'!K8+'t3'!L8+'t3'!M8+'t3'!N8+'t3'!O8+'t3'!P8)*273))&amp;")"),"")</f>
        <v/>
      </c>
    </row>
    <row r="9" spans="1:11" ht="13.2" x14ac:dyDescent="0.25">
      <c r="A9" s="109" t="str">
        <f>'t1'!A9</f>
        <v>COLLABORATORE AREA III</v>
      </c>
      <c r="B9" s="88" t="str">
        <f>'t1'!B9</f>
        <v>013CTE</v>
      </c>
      <c r="C9" s="737">
        <f>'t11'!W11+'t11'!X11</f>
        <v>36</v>
      </c>
      <c r="D9" s="737">
        <f>(C9-'t11'!Q11-'t11'!R11-'t11'!S11-'t11'!T11-'t11'!U11-'t11'!V11)</f>
        <v>36</v>
      </c>
      <c r="E9" s="738">
        <f>'t12'!C9/12</f>
        <v>1</v>
      </c>
      <c r="F9" s="737">
        <f>'t3'!K9+'t3'!L9+'t3'!M9+'t3'!N9+'t3'!O9+'t3'!P9</f>
        <v>0</v>
      </c>
      <c r="G9" s="315" t="str">
        <f t="shared" si="0"/>
        <v>OK</v>
      </c>
      <c r="H9" s="315" t="str">
        <f t="shared" si="1"/>
        <v>OK</v>
      </c>
      <c r="I9" s="540" t="str">
        <f>IF(H9="KO",($H$5&amp;(('t12'!C9/12*273)+(('t3'!K9+'t3'!L9+'t3'!M9+'t3'!N9+'t3'!O9+'t3'!P9)*273))&amp;")"),"")</f>
        <v/>
      </c>
    </row>
    <row r="10" spans="1:11" ht="13.2" x14ac:dyDescent="0.25">
      <c r="A10" s="109" t="str">
        <f>'t1'!A10</f>
        <v>ASSISTENTE AREA II</v>
      </c>
      <c r="B10" s="88" t="str">
        <f>'t1'!B10</f>
        <v>012117</v>
      </c>
      <c r="C10" s="737">
        <f>'t11'!W12+'t11'!X12</f>
        <v>564</v>
      </c>
      <c r="D10" s="737">
        <f>(C10-'t11'!Q12-'t11'!R12-'t11'!S12-'t11'!T12-'t11'!U12-'t11'!V12)</f>
        <v>564</v>
      </c>
      <c r="E10" s="738">
        <f>'t12'!C10/12</f>
        <v>11.67</v>
      </c>
      <c r="F10" s="737">
        <f>'t3'!K10+'t3'!L10+'t3'!M10+'t3'!N10+'t3'!O10+'t3'!P10</f>
        <v>0</v>
      </c>
      <c r="G10" s="315" t="str">
        <f t="shared" si="0"/>
        <v>OK</v>
      </c>
      <c r="H10" s="315" t="str">
        <f t="shared" si="1"/>
        <v>OK</v>
      </c>
      <c r="I10" s="540" t="str">
        <f>IF(H10="KO",($H$5&amp;(('t12'!C10/12*273)+(('t3'!K10+'t3'!L10+'t3'!M10+'t3'!N10+'t3'!O10+'t3'!P10)*273))&amp;")"),"")</f>
        <v/>
      </c>
    </row>
    <row r="11" spans="1:11" ht="13.2" x14ac:dyDescent="0.25">
      <c r="A11" s="109" t="str">
        <f>'t1'!A11</f>
        <v>COADIUTORE AREA I</v>
      </c>
      <c r="B11" s="88" t="str">
        <f>'t1'!B11</f>
        <v>011121</v>
      </c>
      <c r="C11" s="737">
        <f>'t11'!W13+'t11'!X13</f>
        <v>1024</v>
      </c>
      <c r="D11" s="737">
        <f>(C11-'t11'!Q13-'t11'!R13-'t11'!S13-'t11'!T13-'t11'!U13-'t11'!V13)</f>
        <v>1024</v>
      </c>
      <c r="E11" s="738">
        <f>'t12'!C11/12</f>
        <v>12.58</v>
      </c>
      <c r="F11" s="737">
        <f>'t3'!K11+'t3'!L11+'t3'!M11+'t3'!N11+'t3'!O11+'t3'!P11</f>
        <v>0</v>
      </c>
      <c r="G11" s="315" t="str">
        <f t="shared" si="0"/>
        <v>OK</v>
      </c>
      <c r="H11" s="315" t="str">
        <f t="shared" si="1"/>
        <v>OK</v>
      </c>
      <c r="I11" s="540" t="str">
        <f>IF(H11="KO",($H$5&amp;(('t12'!C11/12*273)+(('t3'!K11+'t3'!L11+'t3'!M11+'t3'!N11+'t3'!O11+'t3'!P11)*273))&amp;")"),"")</f>
        <v/>
      </c>
    </row>
    <row r="12" spans="1:11" ht="13.2" x14ac:dyDescent="0.25">
      <c r="A12" s="109" t="str">
        <f>'t1'!A12</f>
        <v>PROFESSORI DI PRIMA FASCIA TEMPO DET.ANNUALE</v>
      </c>
      <c r="B12" s="88" t="str">
        <f>'t1'!B12</f>
        <v>018PD1</v>
      </c>
      <c r="C12" s="737">
        <f>'t11'!W14+'t11'!X14</f>
        <v>369</v>
      </c>
      <c r="D12" s="737">
        <f>(C12-'t11'!Q14-'t11'!R14-'t11'!S14-'t11'!T14-'t11'!U14-'t11'!V14)</f>
        <v>369</v>
      </c>
      <c r="E12" s="738">
        <f>'t12'!C12/12</f>
        <v>13.33</v>
      </c>
      <c r="F12" s="737">
        <f>'t3'!K12+'t3'!L12+'t3'!M12+'t3'!N12+'t3'!O12+'t3'!P12</f>
        <v>0</v>
      </c>
      <c r="G12" s="315" t="str">
        <f t="shared" si="0"/>
        <v>OK</v>
      </c>
      <c r="H12" s="315" t="str">
        <f t="shared" si="1"/>
        <v>OK</v>
      </c>
      <c r="I12" s="540" t="str">
        <f>IF(H12="KO",($H$5&amp;(('t12'!C12/12*273)+(('t3'!K12+'t3'!L12+'t3'!M12+'t3'!N12+'t3'!O12+'t3'!P12)*273))&amp;")"),"")</f>
        <v/>
      </c>
    </row>
    <row r="13" spans="1:11" ht="13.2" x14ac:dyDescent="0.25">
      <c r="A13" s="109" t="str">
        <f>'t1'!A13</f>
        <v>DIRETTORE AMMINISTRATIVO TEMPO DET.ANNUALE (EP2)</v>
      </c>
      <c r="B13" s="88" t="str">
        <f>'t1'!B13</f>
        <v>013EP2</v>
      </c>
      <c r="C13" s="737">
        <f>'t11'!W15+'t11'!X15</f>
        <v>28</v>
      </c>
      <c r="D13" s="737">
        <f>(C13-'t11'!Q15-'t11'!R15-'t11'!S15-'t11'!T15-'t11'!U15-'t11'!V15)</f>
        <v>28</v>
      </c>
      <c r="E13" s="738">
        <f>'t12'!C13/12</f>
        <v>0.67</v>
      </c>
      <c r="F13" s="737">
        <f>'t3'!K13+'t3'!L13+'t3'!M13+'t3'!N13+'t3'!O13+'t3'!P13</f>
        <v>0</v>
      </c>
      <c r="G13" s="315" t="str">
        <f t="shared" si="0"/>
        <v>OK</v>
      </c>
      <c r="H13" s="315" t="str">
        <f t="shared" si="1"/>
        <v>OK</v>
      </c>
      <c r="I13" s="540" t="str">
        <f>IF(H13="KO",($H$5&amp;(('t12'!C13/12*273)+(('t3'!K13+'t3'!L13+'t3'!M13+'t3'!N13+'t3'!O13+'t3'!P13)*273))&amp;")"),"")</f>
        <v/>
      </c>
    </row>
    <row r="14" spans="1:11" ht="13.2" x14ac:dyDescent="0.25">
      <c r="A14" s="109" t="str">
        <f>'t1'!A14</f>
        <v>DIRETTORE DELL UFFICIO DI RAGIONERIA TEMPO DET.ANNUALE (EP1)</v>
      </c>
      <c r="B14" s="88" t="str">
        <f>'t1'!B14</f>
        <v>013160</v>
      </c>
      <c r="C14" s="737">
        <f>'t11'!W16+'t11'!X16</f>
        <v>36</v>
      </c>
      <c r="D14" s="737">
        <f>(C14-'t11'!Q16-'t11'!R16-'t11'!S16-'t11'!T16-'t11'!U16-'t11'!V16)</f>
        <v>36</v>
      </c>
      <c r="E14" s="738">
        <f>'t12'!C14/12</f>
        <v>0.17</v>
      </c>
      <c r="F14" s="737">
        <f>'t3'!K14+'t3'!L14+'t3'!M14+'t3'!N14+'t3'!O14+'t3'!P14</f>
        <v>0</v>
      </c>
      <c r="G14" s="315" t="str">
        <f t="shared" si="0"/>
        <v>OK</v>
      </c>
      <c r="H14" s="315" t="str">
        <f t="shared" si="1"/>
        <v>OK</v>
      </c>
      <c r="I14" s="540" t="str">
        <f>IF(H14="KO",($H$5&amp;(('t12'!C14/12*273)+(('t3'!K14+'t3'!L14+'t3'!M14+'t3'!N14+'t3'!O14+'t3'!P14)*273))&amp;")"),"")</f>
        <v/>
      </c>
    </row>
    <row r="15" spans="1:11" ht="13.2" x14ac:dyDescent="0.25">
      <c r="A15" s="109" t="str">
        <f>'t1'!A15</f>
        <v>COLLABORATORE AREA III TEMPO DET. ANNUALE</v>
      </c>
      <c r="B15" s="88" t="str">
        <f>'t1'!B15</f>
        <v>013CDE</v>
      </c>
      <c r="C15" s="737">
        <f>'t11'!W17+'t11'!X17</f>
        <v>0</v>
      </c>
      <c r="D15" s="737">
        <f>(C15-'t11'!Q17-'t11'!R17-'t11'!S17-'t11'!T17-'t11'!U17-'t11'!V17)</f>
        <v>0</v>
      </c>
      <c r="E15" s="738">
        <f>'t12'!C15/12</f>
        <v>0</v>
      </c>
      <c r="F15" s="737">
        <f>'t3'!K15+'t3'!L15+'t3'!M15+'t3'!N15+'t3'!O15+'t3'!P15</f>
        <v>0</v>
      </c>
      <c r="G15" s="315" t="str">
        <f t="shared" si="0"/>
        <v>OK</v>
      </c>
      <c r="H15" s="315" t="str">
        <f t="shared" si="1"/>
        <v>OK</v>
      </c>
      <c r="I15" s="540" t="str">
        <f>IF(H15="KO",($H$5&amp;(('t12'!C15/12*273)+(('t3'!K15+'t3'!L15+'t3'!M15+'t3'!N15+'t3'!O15+'t3'!P15)*273))&amp;")"),"")</f>
        <v/>
      </c>
    </row>
    <row r="16" spans="1:11" ht="13.2" x14ac:dyDescent="0.25">
      <c r="A16" s="109" t="str">
        <f>'t1'!A16</f>
        <v>ASSISTENTE AREA II TEMPO DET. ANNUALE</v>
      </c>
      <c r="B16" s="88" t="str">
        <f>'t1'!B16</f>
        <v>012118</v>
      </c>
      <c r="C16" s="737">
        <f>'t11'!W18+'t11'!X18</f>
        <v>190</v>
      </c>
      <c r="D16" s="737">
        <f>(C16-'t11'!Q18-'t11'!R18-'t11'!S18-'t11'!T18-'t11'!U18-'t11'!V18)</f>
        <v>190</v>
      </c>
      <c r="E16" s="738">
        <f>'t12'!C16/12</f>
        <v>7.33</v>
      </c>
      <c r="F16" s="737">
        <f>'t3'!K16+'t3'!L16+'t3'!M16+'t3'!N16+'t3'!O16+'t3'!P16</f>
        <v>0</v>
      </c>
      <c r="G16" s="315" t="str">
        <f t="shared" si="0"/>
        <v>OK</v>
      </c>
      <c r="H16" s="315" t="str">
        <f t="shared" si="1"/>
        <v>OK</v>
      </c>
      <c r="I16" s="540" t="str">
        <f>IF(H16="KO",($H$5&amp;(('t12'!C16/12*273)+(('t3'!K16+'t3'!L16+'t3'!M16+'t3'!N16+'t3'!O16+'t3'!P16)*273))&amp;")"),"")</f>
        <v/>
      </c>
    </row>
    <row r="17" spans="1:9" ht="13.2" x14ac:dyDescent="0.25">
      <c r="A17" s="109" t="str">
        <f>'t1'!A17</f>
        <v>COADIUTORE AREA I TEMPO DET.ANNUALE</v>
      </c>
      <c r="B17" s="88" t="str">
        <f>'t1'!B17</f>
        <v>011124</v>
      </c>
      <c r="C17" s="737">
        <f>'t11'!W19+'t11'!X19</f>
        <v>433</v>
      </c>
      <c r="D17" s="737">
        <f>(C17-'t11'!Q19-'t11'!R19-'t11'!S19-'t11'!T19-'t11'!U19-'t11'!V19)</f>
        <v>433</v>
      </c>
      <c r="E17" s="738">
        <f>'t12'!C17/12</f>
        <v>7.5</v>
      </c>
      <c r="F17" s="737">
        <f>'t3'!K17+'t3'!L17+'t3'!M17+'t3'!N17+'t3'!O17+'t3'!P17</f>
        <v>0</v>
      </c>
      <c r="G17" s="315" t="str">
        <f t="shared" si="0"/>
        <v>OK</v>
      </c>
      <c r="H17" s="315" t="str">
        <f t="shared" si="1"/>
        <v>OK</v>
      </c>
      <c r="I17" s="540" t="str">
        <f>IF(H17="KO",($H$5&amp;(('t12'!C17/12*273)+(('t3'!K17+'t3'!L17+'t3'!M17+'t3'!N17+'t3'!O17+'t3'!P17)*273))&amp;")"),"")</f>
        <v/>
      </c>
    </row>
  </sheetData>
  <sheetProtection password="DD41" sheet="1" formatColumns="0" selectLockedCells="1" selectUnlockedCells="1"/>
  <mergeCells count="3">
    <mergeCell ref="A1:I1"/>
    <mergeCell ref="D2:G2"/>
    <mergeCell ref="A3:I3"/>
  </mergeCells>
  <printOptions horizontalCentered="1"/>
  <pageMargins left="0.2" right="0.2" top="0.19685039370078741" bottom="0.15748031496062992" header="0.15748031496062992" footer="0.15748031496062992"/>
  <pageSetup paperSize="9" scale="81"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glio45">
    <pageSetUpPr fitToPage="1"/>
  </sheetPr>
  <dimension ref="A1:D19"/>
  <sheetViews>
    <sheetView showGridLines="0" zoomScale="90" zoomScaleNormal="90" workbookViewId="0">
      <selection activeCell="H1" sqref="H1"/>
    </sheetView>
  </sheetViews>
  <sheetFormatPr defaultColWidth="8.7109375" defaultRowHeight="10.199999999999999" x14ac:dyDescent="0.2"/>
  <cols>
    <col min="1" max="1" width="3" style="3" customWidth="1"/>
    <col min="2" max="2" width="5.42578125" style="3" customWidth="1"/>
    <col min="3" max="3" width="62.7109375" style="3" customWidth="1"/>
    <col min="4" max="4" width="40.7109375" style="2" customWidth="1"/>
    <col min="5" max="16384" width="8.7109375" style="3"/>
  </cols>
  <sheetData>
    <row r="1" spans="1:4" ht="43.5" customHeight="1" x14ac:dyDescent="0.2">
      <c r="A1" s="934" t="str">
        <f>'t1'!A1</f>
        <v>AFAM - anno 2023</v>
      </c>
      <c r="B1" s="934"/>
      <c r="C1" s="934"/>
      <c r="D1" s="934"/>
    </row>
    <row r="2" spans="1:4" ht="21" customHeight="1" x14ac:dyDescent="0.25">
      <c r="A2" s="161" t="s">
        <v>617</v>
      </c>
      <c r="B2" s="161"/>
      <c r="C2" s="161"/>
    </row>
    <row r="3" spans="1:4" ht="21" customHeight="1" thickBot="1" x14ac:dyDescent="0.3">
      <c r="A3" s="936" t="s">
        <v>618</v>
      </c>
      <c r="B3" s="161"/>
      <c r="C3" s="161"/>
    </row>
    <row r="4" spans="1:4" ht="49.5" customHeight="1" thickBot="1" x14ac:dyDescent="0.25">
      <c r="A4" s="811" t="s">
        <v>555</v>
      </c>
      <c r="B4" s="812"/>
      <c r="C4" s="812"/>
      <c r="D4" s="810" t="s">
        <v>622</v>
      </c>
    </row>
    <row r="5" spans="1:4" ht="60" customHeight="1" thickBot="1" x14ac:dyDescent="0.25">
      <c r="A5" s="813" t="s">
        <v>557</v>
      </c>
      <c r="B5" s="812"/>
      <c r="C5" s="812"/>
      <c r="D5" s="942" t="s">
        <v>607</v>
      </c>
    </row>
    <row r="6" spans="1:4" ht="20.100000000000001" customHeight="1" x14ac:dyDescent="0.2"/>
    <row r="7" spans="1:4" ht="20.100000000000001" customHeight="1" x14ac:dyDescent="0.2"/>
    <row r="8" spans="1:4" ht="20.100000000000001" customHeight="1" x14ac:dyDescent="0.2"/>
    <row r="9" spans="1:4" ht="20.100000000000001" customHeight="1" x14ac:dyDescent="0.2"/>
    <row r="10" spans="1:4" ht="39.9" customHeight="1" x14ac:dyDescent="0.2"/>
    <row r="11" spans="1:4" ht="20.100000000000001" customHeight="1" x14ac:dyDescent="0.2"/>
    <row r="12" spans="1:4" ht="39.9" customHeight="1" x14ac:dyDescent="0.2"/>
    <row r="13" spans="1:4" ht="20.100000000000001" customHeight="1" x14ac:dyDescent="0.2"/>
    <row r="14" spans="1:4" ht="20.100000000000001" customHeight="1" x14ac:dyDescent="0.2"/>
    <row r="15" spans="1:4" ht="20.100000000000001" customHeight="1" x14ac:dyDescent="0.2"/>
    <row r="16" spans="1:4" ht="20.100000000000001" customHeight="1" x14ac:dyDescent="0.2"/>
    <row r="17" ht="20.100000000000001" customHeight="1" x14ac:dyDescent="0.2"/>
    <row r="18" ht="20.100000000000001" customHeight="1" x14ac:dyDescent="0.2"/>
    <row r="19" ht="20.100000000000001" customHeight="1" x14ac:dyDescent="0.2"/>
  </sheetData>
  <sheetProtection algorithmName="SHA-512" hashValue="bxig6Bs6CiJnP6el9oAEPR7zcBWTTaB3PMYnKURVWYyFz5vuK9jDZacJwjPpiozInyJpj4IRmuTRiOLCTUQS3Q==" saltValue="G32Yl24EmRemTtD/I+t5Mw==" spinCount="100000" sheet="1" formatColumns="0" selectLockedCells="1"/>
  <conditionalFormatting sqref="D9">
    <cfRule type="cellIs" dxfId="0" priority="1" stopIfTrue="1" operator="greaterThan">
      <formula>10</formula>
    </cfRule>
  </conditionalFormatting>
  <printOptions horizontalCentered="1"/>
  <pageMargins left="0.39370078740157483" right="0.39370078740157483" top="0.78740157480314965" bottom="0.39370078740157483" header="0.15748031496062992" footer="0.1574803149606299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17"/>
  <dimension ref="A1:AQ25"/>
  <sheetViews>
    <sheetView showGridLines="0" topLeftCell="A10" zoomScaleNormal="100" workbookViewId="0">
      <selection activeCell="AC6" sqref="AC6"/>
    </sheetView>
  </sheetViews>
  <sheetFormatPr defaultColWidth="9.28515625" defaultRowHeight="10.199999999999999" x14ac:dyDescent="0.2"/>
  <cols>
    <col min="1" max="1" width="45.85546875" style="3" customWidth="1"/>
    <col min="2" max="2" width="13.28515625" style="2" hidden="1" customWidth="1"/>
    <col min="3" max="8" width="11.140625" style="3" hidden="1" customWidth="1"/>
    <col min="9" max="16" width="10.7109375" style="3" hidden="1" customWidth="1"/>
    <col min="17" max="26" width="9.28515625" style="3" hidden="1" customWidth="1"/>
    <col min="27" max="32" width="9.28515625" style="3" customWidth="1"/>
    <col min="33" max="36" width="11.140625" style="3" customWidth="1"/>
    <col min="37" max="37" width="11.140625" style="3" hidden="1" customWidth="1"/>
    <col min="38" max="38" width="11.140625" style="3" customWidth="1"/>
    <col min="39" max="46" width="10.7109375" style="3" customWidth="1"/>
    <col min="47" max="47" width="9.28515625" style="3" customWidth="1"/>
    <col min="48" max="16384" width="9.28515625" style="3"/>
  </cols>
  <sheetData>
    <row r="1" spans="1:43" ht="43.5" customHeight="1" x14ac:dyDescent="0.2">
      <c r="A1" s="722" t="str">
        <f>'t1'!A1</f>
        <v>AFAM - anno 2023</v>
      </c>
      <c r="B1" s="722"/>
      <c r="C1" s="722"/>
      <c r="D1" s="722"/>
      <c r="E1" s="722"/>
      <c r="F1" s="722"/>
      <c r="G1" s="722"/>
      <c r="H1" s="722"/>
      <c r="I1" s="722"/>
      <c r="J1" s="722"/>
      <c r="L1" s="588"/>
      <c r="M1"/>
      <c r="AK1" s="945" t="s">
        <v>489</v>
      </c>
      <c r="AP1" s="588"/>
      <c r="AQ1"/>
    </row>
    <row r="2" spans="1:43" ht="30" customHeight="1" thickBot="1" x14ac:dyDescent="0.25">
      <c r="A2" s="5"/>
      <c r="G2" s="946"/>
      <c r="H2" s="946"/>
      <c r="I2" s="946"/>
      <c r="J2" s="946"/>
      <c r="AK2" s="947" t="s">
        <v>490</v>
      </c>
    </row>
    <row r="3" spans="1:43" ht="24.75" customHeight="1" thickBot="1" x14ac:dyDescent="0.25">
      <c r="A3" s="7"/>
      <c r="B3" s="8"/>
      <c r="C3" s="948" t="s">
        <v>211</v>
      </c>
      <c r="D3" s="9"/>
      <c r="E3" s="9"/>
      <c r="F3" s="9"/>
      <c r="G3" s="949"/>
      <c r="H3" s="949"/>
      <c r="I3" s="949"/>
      <c r="J3" s="949"/>
      <c r="Y3" s="948" t="s">
        <v>211</v>
      </c>
      <c r="Z3" s="9"/>
      <c r="AA3" s="9"/>
      <c r="AB3" s="9"/>
      <c r="AC3" s="9"/>
      <c r="AD3" s="9"/>
      <c r="AE3" s="9"/>
      <c r="AF3" s="9"/>
      <c r="AG3" s="9"/>
      <c r="AH3" s="105"/>
      <c r="AK3" s="991">
        <v>2</v>
      </c>
    </row>
    <row r="4" spans="1:43" ht="52.5" customHeight="1" thickTop="1" x14ac:dyDescent="0.2">
      <c r="A4" s="950" t="s">
        <v>84</v>
      </c>
      <c r="B4" s="951" t="s">
        <v>52</v>
      </c>
      <c r="C4" s="952" t="s">
        <v>97</v>
      </c>
      <c r="D4" s="953"/>
      <c r="E4" s="952" t="s">
        <v>98</v>
      </c>
      <c r="F4" s="953"/>
      <c r="G4" s="952" t="s">
        <v>42</v>
      </c>
      <c r="H4" s="953"/>
      <c r="I4" s="952" t="s">
        <v>576</v>
      </c>
      <c r="J4" s="953"/>
      <c r="AA4" s="952" t="s">
        <v>97</v>
      </c>
      <c r="AB4" s="953"/>
      <c r="AC4" s="952" t="s">
        <v>98</v>
      </c>
      <c r="AD4" s="953"/>
      <c r="AE4" s="952" t="s">
        <v>42</v>
      </c>
      <c r="AF4" s="953"/>
      <c r="AG4" s="952" t="s">
        <v>576</v>
      </c>
      <c r="AH4" s="954"/>
    </row>
    <row r="5" spans="1:43" ht="20.25" customHeight="1" thickBot="1" x14ac:dyDescent="0.25">
      <c r="A5" s="955"/>
      <c r="B5" s="956"/>
      <c r="C5" s="957" t="s">
        <v>53</v>
      </c>
      <c r="D5" s="958" t="s">
        <v>54</v>
      </c>
      <c r="E5" s="957" t="s">
        <v>53</v>
      </c>
      <c r="F5" s="958" t="s">
        <v>54</v>
      </c>
      <c r="G5" s="957" t="s">
        <v>53</v>
      </c>
      <c r="H5" s="958" t="s">
        <v>54</v>
      </c>
      <c r="I5" s="957" t="s">
        <v>53</v>
      </c>
      <c r="J5" s="958" t="s">
        <v>54</v>
      </c>
      <c r="AA5" s="957" t="s">
        <v>53</v>
      </c>
      <c r="AB5" s="958" t="s">
        <v>54</v>
      </c>
      <c r="AC5" s="957" t="s">
        <v>53</v>
      </c>
      <c r="AD5" s="958" t="s">
        <v>54</v>
      </c>
      <c r="AE5" s="957" t="s">
        <v>53</v>
      </c>
      <c r="AF5" s="958" t="s">
        <v>54</v>
      </c>
      <c r="AG5" s="957" t="s">
        <v>53</v>
      </c>
      <c r="AH5" s="959" t="s">
        <v>54</v>
      </c>
    </row>
    <row r="6" spans="1:43" ht="20.25" customHeight="1" thickTop="1" x14ac:dyDescent="0.2">
      <c r="A6" s="960" t="s">
        <v>398</v>
      </c>
      <c r="B6" s="961" t="s">
        <v>399</v>
      </c>
      <c r="C6" s="962">
        <f t="shared" ref="C6:J8" si="0">ROUND(AA6,2)</f>
        <v>15</v>
      </c>
      <c r="D6" s="963">
        <f t="shared" si="0"/>
        <v>7</v>
      </c>
      <c r="E6" s="962">
        <f t="shared" si="0"/>
        <v>0</v>
      </c>
      <c r="F6" s="963">
        <f t="shared" si="0"/>
        <v>0</v>
      </c>
      <c r="G6" s="962">
        <f t="shared" si="0"/>
        <v>0</v>
      </c>
      <c r="H6" s="963">
        <f t="shared" si="0"/>
        <v>0</v>
      </c>
      <c r="I6" s="962">
        <f t="shared" si="0"/>
        <v>0</v>
      </c>
      <c r="J6" s="963">
        <f t="shared" si="0"/>
        <v>0</v>
      </c>
      <c r="AA6" s="962">
        <v>15</v>
      </c>
      <c r="AB6" s="963">
        <v>7</v>
      </c>
      <c r="AC6" s="962"/>
      <c r="AD6" s="963"/>
      <c r="AE6" s="962"/>
      <c r="AF6" s="963"/>
      <c r="AG6" s="962"/>
      <c r="AH6" s="964"/>
    </row>
    <row r="7" spans="1:43" ht="20.25" customHeight="1" x14ac:dyDescent="0.2">
      <c r="A7" s="960" t="s">
        <v>649</v>
      </c>
      <c r="B7" s="965" t="s">
        <v>400</v>
      </c>
      <c r="C7" s="966">
        <f t="shared" si="0"/>
        <v>0</v>
      </c>
      <c r="D7" s="967">
        <f t="shared" si="0"/>
        <v>0</v>
      </c>
      <c r="E7" s="966">
        <f t="shared" si="0"/>
        <v>0</v>
      </c>
      <c r="F7" s="967">
        <f t="shared" si="0"/>
        <v>0</v>
      </c>
      <c r="G7" s="966">
        <f t="shared" si="0"/>
        <v>0</v>
      </c>
      <c r="H7" s="967">
        <f t="shared" si="0"/>
        <v>0</v>
      </c>
      <c r="I7" s="966">
        <f t="shared" si="0"/>
        <v>0</v>
      </c>
      <c r="J7" s="967">
        <f t="shared" si="0"/>
        <v>0</v>
      </c>
      <c r="AA7" s="966"/>
      <c r="AB7" s="967"/>
      <c r="AC7" s="966"/>
      <c r="AD7" s="967"/>
      <c r="AE7" s="966"/>
      <c r="AF7" s="967"/>
      <c r="AG7" s="966"/>
      <c r="AH7" s="968"/>
    </row>
    <row r="8" spans="1:43" ht="20.25" customHeight="1" thickBot="1" x14ac:dyDescent="0.25">
      <c r="A8" s="960" t="s">
        <v>401</v>
      </c>
      <c r="B8" s="965" t="s">
        <v>402</v>
      </c>
      <c r="C8" s="969">
        <f t="shared" si="0"/>
        <v>0</v>
      </c>
      <c r="D8" s="963">
        <f t="shared" si="0"/>
        <v>0</v>
      </c>
      <c r="E8" s="969">
        <f t="shared" si="0"/>
        <v>0</v>
      </c>
      <c r="F8" s="963">
        <f t="shared" si="0"/>
        <v>0</v>
      </c>
      <c r="G8" s="969">
        <f t="shared" si="0"/>
        <v>0</v>
      </c>
      <c r="H8" s="963">
        <f t="shared" si="0"/>
        <v>0</v>
      </c>
      <c r="I8" s="969">
        <f t="shared" si="0"/>
        <v>0</v>
      </c>
      <c r="J8" s="963">
        <f t="shared" si="0"/>
        <v>0</v>
      </c>
      <c r="AA8" s="969"/>
      <c r="AB8" s="963"/>
      <c r="AC8" s="969"/>
      <c r="AD8" s="963"/>
      <c r="AE8" s="969"/>
      <c r="AF8" s="963"/>
      <c r="AG8" s="969"/>
      <c r="AH8" s="964"/>
    </row>
    <row r="9" spans="1:43" ht="33" customHeight="1" thickTop="1" thickBot="1" x14ac:dyDescent="0.25">
      <c r="A9" s="970" t="s">
        <v>55</v>
      </c>
      <c r="B9" s="10"/>
      <c r="C9" s="971">
        <f t="shared" ref="C9:J9" si="1">SUM(C6:C8)</f>
        <v>15</v>
      </c>
      <c r="D9" s="972">
        <f t="shared" si="1"/>
        <v>7</v>
      </c>
      <c r="E9" s="971">
        <f t="shared" si="1"/>
        <v>0</v>
      </c>
      <c r="F9" s="972">
        <f t="shared" si="1"/>
        <v>0</v>
      </c>
      <c r="G9" s="971">
        <f t="shared" si="1"/>
        <v>0</v>
      </c>
      <c r="H9" s="972">
        <f t="shared" si="1"/>
        <v>0</v>
      </c>
      <c r="I9" s="971">
        <f t="shared" si="1"/>
        <v>0</v>
      </c>
      <c r="J9" s="972">
        <f t="shared" si="1"/>
        <v>0</v>
      </c>
      <c r="AA9" s="971">
        <f t="shared" ref="AA9:AH9" si="2">SUM(AA6:AA8)</f>
        <v>15</v>
      </c>
      <c r="AB9" s="972">
        <f t="shared" si="2"/>
        <v>7</v>
      </c>
      <c r="AC9" s="971">
        <f t="shared" si="2"/>
        <v>0</v>
      </c>
      <c r="AD9" s="972">
        <f t="shared" si="2"/>
        <v>0</v>
      </c>
      <c r="AE9" s="971">
        <f t="shared" si="2"/>
        <v>0</v>
      </c>
      <c r="AF9" s="972">
        <f t="shared" si="2"/>
        <v>0</v>
      </c>
      <c r="AG9" s="971">
        <f t="shared" si="2"/>
        <v>0</v>
      </c>
      <c r="AH9" s="973">
        <f t="shared" si="2"/>
        <v>0</v>
      </c>
    </row>
    <row r="10" spans="1:43" ht="8.25" customHeight="1" x14ac:dyDescent="0.2">
      <c r="A10" s="6"/>
    </row>
    <row r="11" spans="1:43" ht="13.2" x14ac:dyDescent="0.25">
      <c r="A11" s="974"/>
    </row>
    <row r="12" spans="1:43" ht="13.8" x14ac:dyDescent="0.2">
      <c r="A12" s="1113" t="s">
        <v>640</v>
      </c>
      <c r="B12" s="1113"/>
      <c r="C12" s="1113"/>
      <c r="D12" s="1113"/>
      <c r="E12" s="1113"/>
      <c r="F12" s="1113"/>
      <c r="G12" s="1113"/>
      <c r="H12" s="1113"/>
      <c r="I12" s="1113"/>
      <c r="J12" s="1113"/>
      <c r="K12" s="1113"/>
      <c r="L12" s="1113"/>
      <c r="M12" s="1113"/>
      <c r="N12" s="1113"/>
      <c r="O12" s="1113"/>
      <c r="P12" s="1113"/>
      <c r="Q12" s="1113"/>
      <c r="R12" s="1113"/>
      <c r="S12" s="1113"/>
      <c r="T12" s="1113"/>
      <c r="U12" s="1113"/>
      <c r="V12" s="1113"/>
      <c r="W12" s="1113"/>
      <c r="X12" s="1113"/>
      <c r="Y12" s="1113"/>
      <c r="Z12" s="1113"/>
      <c r="AA12" s="1113"/>
      <c r="AB12" s="1113"/>
      <c r="AC12" s="1113"/>
    </row>
    <row r="13" spans="1:43" ht="13.8" x14ac:dyDescent="0.2">
      <c r="A13" s="975"/>
      <c r="B13" s="975"/>
      <c r="C13" s="975"/>
      <c r="D13" s="975"/>
      <c r="E13" s="975"/>
      <c r="F13" s="975"/>
      <c r="G13" s="975"/>
      <c r="H13" s="975"/>
      <c r="I13" s="975"/>
      <c r="J13" s="975"/>
      <c r="K13" s="975"/>
      <c r="L13" s="975"/>
      <c r="M13" s="975"/>
      <c r="N13" s="975"/>
      <c r="O13" s="975"/>
      <c r="P13" s="975"/>
      <c r="Q13" s="975"/>
      <c r="R13" s="975"/>
      <c r="S13" s="975"/>
      <c r="T13" s="975"/>
      <c r="U13" s="975"/>
      <c r="V13" s="975"/>
      <c r="W13" s="975"/>
      <c r="X13" s="975"/>
      <c r="Y13" s="975"/>
      <c r="Z13" s="975"/>
      <c r="AA13" s="975"/>
      <c r="AB13" s="975"/>
      <c r="AC13" s="975"/>
    </row>
    <row r="14" spans="1:43" x14ac:dyDescent="0.2">
      <c r="AA14"/>
    </row>
    <row r="15" spans="1:43" ht="30" customHeight="1" thickBot="1" x14ac:dyDescent="0.25">
      <c r="A15" s="5"/>
      <c r="C15" s="976"/>
      <c r="D15" s="976"/>
      <c r="E15" s="976"/>
      <c r="F15" s="976"/>
      <c r="G15" s="1114"/>
      <c r="H15" s="1114"/>
      <c r="I15" s="1114"/>
      <c r="J15" s="1114"/>
      <c r="K15" s="1114"/>
      <c r="L15" s="1114"/>
    </row>
    <row r="16" spans="1:43" ht="24.75" customHeight="1" thickBot="1" x14ac:dyDescent="0.25">
      <c r="A16" s="7"/>
      <c r="B16" s="8"/>
      <c r="D16" s="977"/>
      <c r="E16" s="977"/>
      <c r="F16" s="977"/>
      <c r="G16" s="977"/>
      <c r="H16" s="977"/>
      <c r="I16" s="227"/>
      <c r="J16" s="227"/>
      <c r="K16" s="227"/>
      <c r="L16" s="228"/>
      <c r="AA16" s="227"/>
      <c r="AB16" s="227"/>
      <c r="AC16" s="227"/>
      <c r="AD16" s="227"/>
      <c r="AE16" s="227"/>
      <c r="AF16" s="227"/>
      <c r="AG16" s="227"/>
      <c r="AH16" s="227"/>
      <c r="AI16" s="227"/>
      <c r="AJ16" s="228"/>
    </row>
    <row r="17" spans="1:36" ht="52.5" customHeight="1" thickTop="1" x14ac:dyDescent="0.2">
      <c r="A17" s="950" t="s">
        <v>84</v>
      </c>
      <c r="B17" s="951" t="s">
        <v>52</v>
      </c>
      <c r="C17" s="1110" t="s">
        <v>641</v>
      </c>
      <c r="D17" s="1111"/>
      <c r="E17" s="1110" t="s">
        <v>642</v>
      </c>
      <c r="F17" s="1111"/>
      <c r="G17" s="1110" t="s">
        <v>643</v>
      </c>
      <c r="H17" s="1111"/>
      <c r="I17" s="1110" t="s">
        <v>0</v>
      </c>
      <c r="J17" s="1111"/>
      <c r="K17" s="1110" t="s">
        <v>1</v>
      </c>
      <c r="L17" s="1112"/>
      <c r="AA17" s="1110" t="s">
        <v>644</v>
      </c>
      <c r="AB17" s="1111"/>
      <c r="AC17" s="1110" t="s">
        <v>645</v>
      </c>
      <c r="AD17" s="1111"/>
      <c r="AE17" s="1110" t="s">
        <v>646</v>
      </c>
      <c r="AF17" s="1111"/>
      <c r="AG17" s="1110" t="s">
        <v>647</v>
      </c>
      <c r="AH17" s="1111"/>
      <c r="AI17" s="1110" t="s">
        <v>648</v>
      </c>
      <c r="AJ17" s="1112"/>
    </row>
    <row r="18" spans="1:36" ht="20.25" customHeight="1" thickBot="1" x14ac:dyDescent="0.25">
      <c r="A18" s="955"/>
      <c r="B18" s="956"/>
      <c r="C18" s="957" t="s">
        <v>53</v>
      </c>
      <c r="D18" s="959" t="s">
        <v>54</v>
      </c>
      <c r="E18" s="957" t="s">
        <v>53</v>
      </c>
      <c r="F18" s="959" t="s">
        <v>54</v>
      </c>
      <c r="G18" s="957" t="s">
        <v>53</v>
      </c>
      <c r="H18" s="959" t="s">
        <v>54</v>
      </c>
      <c r="I18" s="957" t="s">
        <v>53</v>
      </c>
      <c r="J18" s="959" t="s">
        <v>54</v>
      </c>
      <c r="K18" s="957" t="s">
        <v>53</v>
      </c>
      <c r="L18" s="959" t="s">
        <v>54</v>
      </c>
      <c r="AA18" s="957" t="s">
        <v>53</v>
      </c>
      <c r="AB18" s="959" t="s">
        <v>54</v>
      </c>
      <c r="AC18" s="957" t="s">
        <v>53</v>
      </c>
      <c r="AD18" s="959" t="s">
        <v>54</v>
      </c>
      <c r="AE18" s="957" t="s">
        <v>53</v>
      </c>
      <c r="AF18" s="959" t="s">
        <v>54</v>
      </c>
      <c r="AG18" s="957" t="s">
        <v>53</v>
      </c>
      <c r="AH18" s="959" t="s">
        <v>54</v>
      </c>
      <c r="AI18" s="957" t="s">
        <v>53</v>
      </c>
      <c r="AJ18" s="959" t="s">
        <v>54</v>
      </c>
    </row>
    <row r="19" spans="1:36" ht="20.25" customHeight="1" thickTop="1" x14ac:dyDescent="0.2">
      <c r="A19" s="960" t="s">
        <v>398</v>
      </c>
      <c r="B19" s="961" t="s">
        <v>399</v>
      </c>
      <c r="C19" s="978">
        <f t="shared" ref="C19:L21" si="3">ROUND(AA19,0)</f>
        <v>0</v>
      </c>
      <c r="D19" s="979">
        <f t="shared" si="3"/>
        <v>0</v>
      </c>
      <c r="E19" s="978">
        <f t="shared" si="3"/>
        <v>0</v>
      </c>
      <c r="F19" s="979">
        <f t="shared" si="3"/>
        <v>0</v>
      </c>
      <c r="G19" s="978">
        <f t="shared" si="3"/>
        <v>0</v>
      </c>
      <c r="H19" s="979">
        <f t="shared" si="3"/>
        <v>0</v>
      </c>
      <c r="I19" s="978">
        <f t="shared" si="3"/>
        <v>0</v>
      </c>
      <c r="J19" s="979">
        <f t="shared" si="3"/>
        <v>0</v>
      </c>
      <c r="K19" s="978">
        <f t="shared" si="3"/>
        <v>0</v>
      </c>
      <c r="L19" s="979">
        <f t="shared" si="3"/>
        <v>0</v>
      </c>
      <c r="AA19" s="980"/>
      <c r="AB19" s="981"/>
      <c r="AC19" s="980"/>
      <c r="AD19" s="981"/>
      <c r="AE19" s="980"/>
      <c r="AF19" s="981"/>
      <c r="AG19" s="980"/>
      <c r="AH19" s="981"/>
      <c r="AI19" s="980"/>
      <c r="AJ19" s="981"/>
    </row>
    <row r="20" spans="1:36" ht="20.25" customHeight="1" x14ac:dyDescent="0.2">
      <c r="A20" s="960" t="s">
        <v>649</v>
      </c>
      <c r="B20" s="965" t="s">
        <v>400</v>
      </c>
      <c r="C20" s="982">
        <f t="shared" si="3"/>
        <v>0</v>
      </c>
      <c r="D20" s="983">
        <f t="shared" si="3"/>
        <v>0</v>
      </c>
      <c r="E20" s="982">
        <f t="shared" si="3"/>
        <v>0</v>
      </c>
      <c r="F20" s="983">
        <f t="shared" si="3"/>
        <v>0</v>
      </c>
      <c r="G20" s="982">
        <f t="shared" si="3"/>
        <v>0</v>
      </c>
      <c r="H20" s="983">
        <f t="shared" si="3"/>
        <v>0</v>
      </c>
      <c r="I20" s="982">
        <f t="shared" si="3"/>
        <v>0</v>
      </c>
      <c r="J20" s="983">
        <f t="shared" si="3"/>
        <v>0</v>
      </c>
      <c r="K20" s="982">
        <f t="shared" si="3"/>
        <v>0</v>
      </c>
      <c r="L20" s="983">
        <f t="shared" si="3"/>
        <v>0</v>
      </c>
      <c r="AA20" s="984"/>
      <c r="AB20" s="985"/>
      <c r="AC20" s="984"/>
      <c r="AD20" s="985"/>
      <c r="AE20" s="984"/>
      <c r="AF20" s="985"/>
      <c r="AG20" s="984"/>
      <c r="AH20" s="985"/>
      <c r="AI20" s="984"/>
      <c r="AJ20" s="985"/>
    </row>
    <row r="21" spans="1:36" ht="20.25" customHeight="1" thickBot="1" x14ac:dyDescent="0.25">
      <c r="A21" s="960" t="s">
        <v>401</v>
      </c>
      <c r="B21" s="965" t="s">
        <v>402</v>
      </c>
      <c r="C21" s="986">
        <f t="shared" si="3"/>
        <v>0</v>
      </c>
      <c r="D21" s="979">
        <f t="shared" si="3"/>
        <v>0</v>
      </c>
      <c r="E21" s="986">
        <f t="shared" si="3"/>
        <v>0</v>
      </c>
      <c r="F21" s="979">
        <f t="shared" si="3"/>
        <v>0</v>
      </c>
      <c r="G21" s="986">
        <f t="shared" si="3"/>
        <v>0</v>
      </c>
      <c r="H21" s="979">
        <f t="shared" si="3"/>
        <v>0</v>
      </c>
      <c r="I21" s="986">
        <f t="shared" si="3"/>
        <v>0</v>
      </c>
      <c r="J21" s="979">
        <f t="shared" si="3"/>
        <v>0</v>
      </c>
      <c r="K21" s="986">
        <f t="shared" si="3"/>
        <v>0</v>
      </c>
      <c r="L21" s="979">
        <f t="shared" si="3"/>
        <v>0</v>
      </c>
      <c r="AA21" s="987"/>
      <c r="AB21" s="981"/>
      <c r="AC21" s="987"/>
      <c r="AD21" s="981"/>
      <c r="AE21" s="987"/>
      <c r="AF21" s="981"/>
      <c r="AG21" s="987"/>
      <c r="AH21" s="981"/>
      <c r="AI21" s="987"/>
      <c r="AJ21" s="981"/>
    </row>
    <row r="22" spans="1:36" ht="33" customHeight="1" thickTop="1" thickBot="1" x14ac:dyDescent="0.25">
      <c r="A22" s="970" t="s">
        <v>55</v>
      </c>
      <c r="B22" s="10"/>
      <c r="C22" s="971">
        <f t="shared" ref="C22:L22" si="4">SUM(C19:C21)</f>
        <v>0</v>
      </c>
      <c r="D22" s="973">
        <f t="shared" si="4"/>
        <v>0</v>
      </c>
      <c r="E22" s="971">
        <f t="shared" si="4"/>
        <v>0</v>
      </c>
      <c r="F22" s="973">
        <f t="shared" si="4"/>
        <v>0</v>
      </c>
      <c r="G22" s="971">
        <f t="shared" si="4"/>
        <v>0</v>
      </c>
      <c r="H22" s="973">
        <f t="shared" si="4"/>
        <v>0</v>
      </c>
      <c r="I22" s="971">
        <f t="shared" si="4"/>
        <v>0</v>
      </c>
      <c r="J22" s="973">
        <f t="shared" si="4"/>
        <v>0</v>
      </c>
      <c r="K22" s="971">
        <f t="shared" si="4"/>
        <v>0</v>
      </c>
      <c r="L22" s="973">
        <f t="shared" si="4"/>
        <v>0</v>
      </c>
      <c r="AA22" s="988">
        <f t="shared" ref="AA22:AJ22" si="5">SUM(AA19:AA21)</f>
        <v>0</v>
      </c>
      <c r="AB22" s="989">
        <f t="shared" si="5"/>
        <v>0</v>
      </c>
      <c r="AC22" s="988">
        <f t="shared" si="5"/>
        <v>0</v>
      </c>
      <c r="AD22" s="989">
        <f t="shared" si="5"/>
        <v>0</v>
      </c>
      <c r="AE22" s="988">
        <f t="shared" si="5"/>
        <v>0</v>
      </c>
      <c r="AF22" s="989">
        <f t="shared" si="5"/>
        <v>0</v>
      </c>
      <c r="AG22" s="988">
        <f t="shared" si="5"/>
        <v>0</v>
      </c>
      <c r="AH22" s="989">
        <f t="shared" si="5"/>
        <v>0</v>
      </c>
      <c r="AI22" s="988">
        <f t="shared" si="5"/>
        <v>0</v>
      </c>
      <c r="AJ22" s="989">
        <f t="shared" si="5"/>
        <v>0</v>
      </c>
    </row>
    <row r="23" spans="1:36" ht="8.25" customHeight="1" x14ac:dyDescent="0.2">
      <c r="A23" s="6"/>
    </row>
    <row r="24" spans="1:36" ht="13.2" x14ac:dyDescent="0.25">
      <c r="A24" s="974" t="s">
        <v>99</v>
      </c>
    </row>
    <row r="25" spans="1:36" ht="13.2" x14ac:dyDescent="0.25">
      <c r="A25" s="974" t="s">
        <v>100</v>
      </c>
    </row>
  </sheetData>
  <sheetProtection password="DD41" sheet="1" formatColumns="0" selectLockedCells="1"/>
  <mergeCells count="12">
    <mergeCell ref="AE17:AF17"/>
    <mergeCell ref="AG17:AH17"/>
    <mergeCell ref="AI17:AJ17"/>
    <mergeCell ref="A12:AC12"/>
    <mergeCell ref="G15:L15"/>
    <mergeCell ref="C17:D17"/>
    <mergeCell ref="E17:F17"/>
    <mergeCell ref="G17:H17"/>
    <mergeCell ref="I17:J17"/>
    <mergeCell ref="K17:L17"/>
    <mergeCell ref="AA17:AB17"/>
    <mergeCell ref="AC17:AD17"/>
  </mergeCells>
  <dataValidations count="2">
    <dataValidation type="whole" allowBlank="1" showErrorMessage="1" promptTitle="ATTENZIONE!" prompt="Inserire solo numeri decimali con due cifre dopo la virgola" sqref="AA19:AJ21 C19:L21" xr:uid="{00000000-0002-0000-0400-000000000000}">
      <formula1>0</formula1>
      <formula2>9999999</formula2>
    </dataValidation>
    <dataValidation type="decimal" allowBlank="1" showInputMessage="1" showErrorMessage="1" promptTitle="ATTENZIONE!" prompt="Inserire solo numeri decimali con due cifre dopo la virgola" sqref="C6:J8 AA6:AH8" xr:uid="{00000000-0002-0000-0400-000001000000}">
      <formula1>0</formula1>
      <formula2>9999999</formula2>
    </dataValidation>
  </dataValidations>
  <printOptions horizontalCentered="1" verticalCentered="1"/>
  <pageMargins left="0" right="0" top="0.19685039370078741" bottom="0.31496062992125984" header="0.51181102362204722" footer="0.51181102362204722"/>
  <pageSetup paperSize="9" scale="90" orientation="landscape" horizontalDpi="300" vertic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52161" r:id="rId4" name="Drop Down 1">
              <controlPr defaultSize="0" autoLine="0" autoPict="0" altText="No">
                <anchor moveWithCells="1">
                  <from>
                    <xdr:col>29</xdr:col>
                    <xdr:colOff>182880</xdr:colOff>
                    <xdr:row>10</xdr:row>
                    <xdr:rowOff>144780</xdr:rowOff>
                  </from>
                  <to>
                    <xdr:col>30</xdr:col>
                    <xdr:colOff>251460</xdr:colOff>
                    <xdr:row>11</xdr:row>
                    <xdr:rowOff>175260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34"/>
  <dimension ref="A1:T29"/>
  <sheetViews>
    <sheetView workbookViewId="0">
      <selection activeCell="I12" sqref="I12"/>
    </sheetView>
  </sheetViews>
  <sheetFormatPr defaultColWidth="9.28515625" defaultRowHeight="10.199999999999999" x14ac:dyDescent="0.2"/>
  <cols>
    <col min="1" max="1" width="6.140625" style="463" bestFit="1" customWidth="1"/>
    <col min="2" max="2" width="13" style="455" customWidth="1"/>
    <col min="3" max="3" width="43.7109375" style="455" customWidth="1"/>
    <col min="4" max="11" width="13.42578125" style="455" customWidth="1"/>
    <col min="12" max="19" width="7.7109375" style="455" hidden="1" customWidth="1"/>
    <col min="20" max="20" width="0" style="455" hidden="1" customWidth="1"/>
    <col min="21" max="21" width="8" style="455" customWidth="1"/>
    <col min="22" max="22" width="10.42578125" style="455" customWidth="1"/>
    <col min="23" max="16384" width="9.28515625" style="455"/>
  </cols>
  <sheetData>
    <row r="1" spans="1:20" ht="23.25" customHeight="1" x14ac:dyDescent="0.2">
      <c r="A1" s="463" t="str">
        <f>SI_1!A2</f>
        <v>AFAM</v>
      </c>
      <c r="B1" s="1123" t="str">
        <f>'t1'!A1</f>
        <v>AFAM - anno 2023</v>
      </c>
      <c r="C1" s="1123"/>
      <c r="D1" s="1123"/>
      <c r="E1" s="1123"/>
      <c r="F1" s="1123"/>
      <c r="G1" s="1123"/>
      <c r="H1" s="1123"/>
      <c r="I1" s="1123"/>
      <c r="J1" s="1123"/>
      <c r="K1" s="1123"/>
      <c r="L1" s="1123"/>
      <c r="M1" s="1123"/>
      <c r="N1" s="1123"/>
      <c r="O1" s="1123"/>
      <c r="P1" s="1123"/>
      <c r="Q1" s="1123"/>
      <c r="R1" s="1123"/>
      <c r="S1" s="1123"/>
    </row>
    <row r="3" spans="1:20" ht="23.25" customHeight="1" x14ac:dyDescent="0.3">
      <c r="D3" s="461"/>
      <c r="E3" s="461"/>
      <c r="F3" s="461"/>
      <c r="G3" s="461"/>
      <c r="H3" s="461"/>
      <c r="I3" s="461"/>
      <c r="J3" s="478"/>
      <c r="K3" s="478"/>
      <c r="M3" s="462"/>
      <c r="N3" s="462"/>
      <c r="O3" s="462"/>
      <c r="P3" s="462"/>
      <c r="Q3" s="462"/>
      <c r="R3" s="462"/>
    </row>
    <row r="4" spans="1:20" ht="11.4" x14ac:dyDescent="0.2">
      <c r="D4" s="464"/>
    </row>
    <row r="6" spans="1:20" ht="15" hidden="1" customHeight="1" thickTop="1" x14ac:dyDescent="0.2">
      <c r="B6" s="1115"/>
      <c r="C6" s="1121"/>
      <c r="D6" s="1124"/>
      <c r="E6" s="1125"/>
      <c r="F6" s="1125"/>
      <c r="G6" s="1125"/>
      <c r="H6" s="1125"/>
      <c r="I6" s="1125"/>
      <c r="J6" s="1125"/>
      <c r="K6" s="1126"/>
      <c r="L6" s="1124"/>
      <c r="M6" s="1125"/>
      <c r="N6" s="1125"/>
      <c r="O6" s="1125"/>
      <c r="P6" s="1125"/>
      <c r="Q6" s="1125"/>
      <c r="R6" s="1125"/>
      <c r="S6" s="1126"/>
    </row>
    <row r="7" spans="1:20" ht="13.5" hidden="1" customHeight="1" x14ac:dyDescent="0.2">
      <c r="B7" s="1115"/>
      <c r="C7" s="1121"/>
      <c r="D7" s="1127"/>
      <c r="E7" s="1115"/>
      <c r="F7" s="1115"/>
      <c r="G7" s="1115"/>
      <c r="H7" s="1115"/>
      <c r="I7" s="1115"/>
      <c r="J7" s="1115"/>
      <c r="K7" s="1128"/>
      <c r="L7" s="1127"/>
      <c r="M7" s="1115"/>
      <c r="N7" s="1115"/>
      <c r="O7" s="1115"/>
      <c r="P7" s="1115"/>
      <c r="Q7" s="1115"/>
      <c r="R7" s="1115"/>
      <c r="S7" s="1128"/>
    </row>
    <row r="8" spans="1:20" ht="60" customHeight="1" x14ac:dyDescent="0.25">
      <c r="B8" s="1115" t="s">
        <v>294</v>
      </c>
      <c r="C8" s="1121"/>
      <c r="D8" s="1122" t="s">
        <v>262</v>
      </c>
      <c r="E8" s="1116"/>
      <c r="F8" s="1116" t="s">
        <v>263</v>
      </c>
      <c r="G8" s="1116"/>
      <c r="H8" s="1116" t="s">
        <v>264</v>
      </c>
      <c r="I8" s="1116"/>
      <c r="J8" s="1116" t="s">
        <v>265</v>
      </c>
      <c r="K8" s="1117"/>
      <c r="L8" s="1119"/>
      <c r="M8" s="1116"/>
      <c r="N8" s="1116"/>
      <c r="O8" s="1116"/>
      <c r="P8" s="1116"/>
      <c r="Q8" s="1116"/>
      <c r="R8" s="1116"/>
      <c r="S8" s="1117"/>
    </row>
    <row r="9" spans="1:20" ht="12" x14ac:dyDescent="0.25">
      <c r="B9" s="1116" t="s">
        <v>266</v>
      </c>
      <c r="C9" s="1118"/>
      <c r="D9" s="469" t="s">
        <v>70</v>
      </c>
      <c r="E9" s="468" t="s">
        <v>71</v>
      </c>
      <c r="F9" s="467" t="s">
        <v>70</v>
      </c>
      <c r="G9" s="468" t="s">
        <v>71</v>
      </c>
      <c r="H9" s="467" t="s">
        <v>70</v>
      </c>
      <c r="I9" s="468" t="s">
        <v>71</v>
      </c>
      <c r="J9" s="467" t="s">
        <v>70</v>
      </c>
      <c r="K9" s="470" t="s">
        <v>71</v>
      </c>
      <c r="L9" s="469"/>
      <c r="M9" s="468"/>
      <c r="N9" s="467"/>
      <c r="O9" s="468"/>
      <c r="P9" s="467"/>
      <c r="Q9" s="468"/>
      <c r="R9" s="467"/>
      <c r="S9" s="470"/>
    </row>
    <row r="10" spans="1:20" ht="30.75" hidden="1" customHeight="1" x14ac:dyDescent="0.25">
      <c r="A10" s="463" t="s">
        <v>692</v>
      </c>
      <c r="B10" s="1116" t="s">
        <v>669</v>
      </c>
      <c r="C10" s="1118"/>
      <c r="D10" s="566"/>
      <c r="E10" s="480"/>
      <c r="F10" s="480"/>
      <c r="G10" s="480"/>
      <c r="H10" s="481"/>
      <c r="I10" s="481"/>
      <c r="J10" s="481"/>
      <c r="K10" s="483"/>
      <c r="L10" s="482"/>
      <c r="M10" s="481"/>
      <c r="N10" s="481"/>
      <c r="O10" s="481"/>
      <c r="P10" s="481"/>
      <c r="Q10" s="481"/>
      <c r="R10" s="481"/>
      <c r="S10" s="483"/>
    </row>
    <row r="11" spans="1:20" ht="8.1" customHeight="1" x14ac:dyDescent="0.2">
      <c r="B11" s="1120"/>
      <c r="C11" s="1120"/>
      <c r="D11" s="1120"/>
      <c r="E11" s="1120"/>
      <c r="F11" s="1120"/>
      <c r="G11" s="1120"/>
      <c r="H11" s="1120"/>
      <c r="I11" s="1120"/>
      <c r="J11" s="1120"/>
      <c r="K11" s="1120"/>
      <c r="L11" s="1120"/>
      <c r="M11" s="1120"/>
      <c r="N11" s="1120"/>
      <c r="O11" s="1120"/>
      <c r="P11" s="1120"/>
      <c r="Q11" s="1120"/>
      <c r="R11" s="1120"/>
      <c r="S11" s="1120"/>
    </row>
    <row r="12" spans="1:20" ht="11.4" x14ac:dyDescent="0.2">
      <c r="A12" s="463" t="str">
        <f>'t2'!B6</f>
        <v>PR</v>
      </c>
      <c r="B12" s="1115" t="s">
        <v>267</v>
      </c>
      <c r="C12" s="471" t="str">
        <f>'t2'!A6</f>
        <v>PROFESSORI</v>
      </c>
      <c r="D12" s="484">
        <v>6</v>
      </c>
      <c r="E12" s="481">
        <v>1</v>
      </c>
      <c r="F12" s="481">
        <v>8</v>
      </c>
      <c r="G12" s="481">
        <v>6</v>
      </c>
      <c r="H12" s="481">
        <v>1</v>
      </c>
      <c r="I12" s="481"/>
      <c r="J12" s="481"/>
      <c r="K12" s="483"/>
      <c r="L12" s="482"/>
      <c r="M12" s="481"/>
      <c r="N12" s="481"/>
      <c r="O12" s="481"/>
      <c r="P12" s="481"/>
      <c r="Q12" s="481"/>
      <c r="R12" s="481"/>
      <c r="S12" s="483"/>
    </row>
    <row r="13" spans="1:20" ht="11.4" x14ac:dyDescent="0.2">
      <c r="A13" s="463" t="str">
        <f>'t2'!B7</f>
        <v>EP</v>
      </c>
      <c r="B13" s="1115"/>
      <c r="C13" s="471" t="str">
        <f>'t2'!A7</f>
        <v>PERSONALE ELEVATE PROFESSIONALITA'</v>
      </c>
      <c r="D13" s="484"/>
      <c r="E13" s="481"/>
      <c r="F13" s="481"/>
      <c r="G13" s="481"/>
      <c r="H13" s="481"/>
      <c r="I13" s="481"/>
      <c r="J13" s="481"/>
      <c r="K13" s="483"/>
      <c r="L13" s="482"/>
      <c r="M13" s="481"/>
      <c r="N13" s="481"/>
      <c r="O13" s="481"/>
      <c r="P13" s="481"/>
      <c r="Q13" s="481"/>
      <c r="R13" s="481"/>
      <c r="S13" s="483"/>
    </row>
    <row r="14" spans="1:20" ht="11.4" x14ac:dyDescent="0.2">
      <c r="A14" s="463" t="str">
        <f>'t2'!B8</f>
        <v>PA</v>
      </c>
      <c r="B14" s="1115"/>
      <c r="C14" s="471" t="str">
        <f>'t2'!A8</f>
        <v>PERSONALE DELLE AREE</v>
      </c>
      <c r="D14" s="484"/>
      <c r="E14" s="481"/>
      <c r="F14" s="481"/>
      <c r="G14" s="481"/>
      <c r="H14" s="481"/>
      <c r="I14" s="481"/>
      <c r="J14" s="481"/>
      <c r="K14" s="483"/>
      <c r="L14" s="482"/>
      <c r="M14" s="481"/>
      <c r="N14" s="481"/>
      <c r="O14" s="481"/>
      <c r="P14" s="481"/>
      <c r="Q14" s="481"/>
      <c r="R14" s="481"/>
      <c r="S14" s="483"/>
    </row>
    <row r="15" spans="1:20" ht="12.6" x14ac:dyDescent="0.3">
      <c r="B15" s="1115"/>
      <c r="C15" s="472" t="s">
        <v>268</v>
      </c>
      <c r="D15" s="485">
        <f t="shared" ref="D15:K15" si="0">SUM(D12:D14)</f>
        <v>6</v>
      </c>
      <c r="E15" s="486">
        <f t="shared" si="0"/>
        <v>1</v>
      </c>
      <c r="F15" s="486">
        <f t="shared" si="0"/>
        <v>8</v>
      </c>
      <c r="G15" s="486">
        <f t="shared" si="0"/>
        <v>6</v>
      </c>
      <c r="H15" s="486">
        <f t="shared" si="0"/>
        <v>1</v>
      </c>
      <c r="I15" s="486">
        <f t="shared" si="0"/>
        <v>0</v>
      </c>
      <c r="J15" s="486">
        <f t="shared" si="0"/>
        <v>0</v>
      </c>
      <c r="K15" s="487">
        <f t="shared" si="0"/>
        <v>0</v>
      </c>
      <c r="L15" s="485"/>
      <c r="M15" s="486"/>
      <c r="N15" s="486"/>
      <c r="O15" s="486"/>
      <c r="P15" s="486"/>
      <c r="Q15" s="486"/>
      <c r="R15" s="486"/>
      <c r="S15" s="487"/>
      <c r="T15" s="465">
        <f>SUM(D15:S15,D10:S10)</f>
        <v>22</v>
      </c>
    </row>
    <row r="23" spans="6:7" ht="16.5" customHeight="1" x14ac:dyDescent="0.2"/>
    <row r="24" spans="6:7" ht="13.2" x14ac:dyDescent="0.25">
      <c r="F24" s="466"/>
      <c r="G24" s="466"/>
    </row>
    <row r="25" spans="6:7" ht="13.2" x14ac:dyDescent="0.25">
      <c r="F25" s="466"/>
      <c r="G25" s="466"/>
    </row>
    <row r="27" spans="6:7" ht="13.2" x14ac:dyDescent="0.25">
      <c r="F27" s="466"/>
      <c r="G27" s="466"/>
    </row>
    <row r="29" spans="6:7" ht="13.2" x14ac:dyDescent="0.25">
      <c r="F29" s="466"/>
      <c r="G29" s="466"/>
    </row>
  </sheetData>
  <sheetProtection algorithmName="SHA-512" hashValue="CikGTIVgFn5xx1ss4ETjXAm8LEWw604mlP4X6jq78wgFPbWPoJZ7ZOU83H4OACdYjEX32WmdBhPmcCVKE4e6vg==" saltValue="uD0/TlwtSZYg6AzBWhAxWg==" spinCount="100000" sheet="1" formatColumns="0" selectLockedCells="1"/>
  <mergeCells count="17">
    <mergeCell ref="B1:S1"/>
    <mergeCell ref="B6:C7"/>
    <mergeCell ref="D6:K7"/>
    <mergeCell ref="L6:S7"/>
    <mergeCell ref="B12:B15"/>
    <mergeCell ref="P8:Q8"/>
    <mergeCell ref="R8:S8"/>
    <mergeCell ref="B9:C9"/>
    <mergeCell ref="B10:C10"/>
    <mergeCell ref="J8:K8"/>
    <mergeCell ref="L8:M8"/>
    <mergeCell ref="N8:O8"/>
    <mergeCell ref="B11:S11"/>
    <mergeCell ref="B8:C8"/>
    <mergeCell ref="D8:E8"/>
    <mergeCell ref="F8:G8"/>
    <mergeCell ref="H8:I8"/>
  </mergeCells>
  <phoneticPr fontId="0" type="noConversion"/>
  <dataValidations count="1">
    <dataValidation type="whole" allowBlank="1" showInputMessage="1" showErrorMessage="1" errorTitle="ERRORE" error="INSERIRE SOLO NUMERI INTERI COMPRESI TRA 0 E 9999999" sqref="D10:S10 D12:S14" xr:uid="{00000000-0002-0000-0500-000000000000}">
      <formula1>0</formula1>
      <formula2>9999999</formula2>
    </dataValidation>
  </dataValidations>
  <pageMargins left="0.39" right="0.4" top="1" bottom="1" header="0.5" footer="0.5"/>
  <pageSetup paperSize="9" orientation="landscape" horizontalDpi="0"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10"/>
  <dimension ref="A1:R21"/>
  <sheetViews>
    <sheetView showGridLines="0" workbookViewId="0">
      <pane xSplit="2" ySplit="5" topLeftCell="C6" activePane="bottomRight" state="frozen"/>
      <selection activeCell="E11" sqref="E11"/>
      <selection pane="topRight" activeCell="E11" sqref="E11"/>
      <selection pane="bottomLeft" activeCell="E11" sqref="E11"/>
      <selection pane="bottomRight" activeCell="J10" sqref="J10"/>
    </sheetView>
  </sheetViews>
  <sheetFormatPr defaultColWidth="10.7109375" defaultRowHeight="10.199999999999999" x14ac:dyDescent="0.2"/>
  <cols>
    <col min="1" max="1" width="57.7109375" style="76" customWidth="1"/>
    <col min="2" max="2" width="10.7109375" style="85" customWidth="1"/>
    <col min="3" max="14" width="11.42578125" style="76" customWidth="1"/>
    <col min="15" max="16" width="11.42578125" customWidth="1"/>
    <col min="17" max="17" width="9.140625" style="76" hidden="1" customWidth="1"/>
    <col min="18" max="18" width="9.140625" style="76" customWidth="1"/>
    <col min="19" max="19" width="6.7109375" style="76" customWidth="1"/>
    <col min="20" max="23" width="10.7109375" style="76" customWidth="1"/>
    <col min="24" max="16384" width="10.7109375" style="76"/>
  </cols>
  <sheetData>
    <row r="1" spans="1:18" s="3" customFormat="1" ht="43.5" customHeight="1" x14ac:dyDescent="0.2">
      <c r="A1" s="1097" t="str">
        <f>'t1'!A1</f>
        <v>AFAM - anno 2023</v>
      </c>
      <c r="B1" s="1097"/>
      <c r="C1" s="1097"/>
      <c r="D1" s="1097"/>
      <c r="E1" s="1097"/>
      <c r="F1" s="1097"/>
      <c r="G1" s="1097"/>
      <c r="H1" s="1097"/>
      <c r="I1" s="1097"/>
      <c r="J1" s="1097"/>
      <c r="K1" s="1097"/>
      <c r="L1" s="1097"/>
      <c r="N1" s="268"/>
      <c r="O1"/>
      <c r="P1"/>
      <c r="Q1"/>
    </row>
    <row r="2" spans="1:18" s="3" customFormat="1" ht="30" customHeight="1" thickBot="1" x14ac:dyDescent="0.25">
      <c r="A2" s="267"/>
      <c r="B2" s="2"/>
      <c r="F2" s="1129"/>
      <c r="G2" s="1129"/>
      <c r="H2" s="1129"/>
      <c r="I2" s="1129"/>
      <c r="J2" s="1129"/>
      <c r="K2" s="1129"/>
      <c r="L2" s="1129"/>
      <c r="M2" s="1129"/>
      <c r="N2" s="1129"/>
      <c r="O2"/>
      <c r="P2"/>
      <c r="Q2"/>
    </row>
    <row r="3" spans="1:18" ht="18.75" customHeight="1" thickBot="1" x14ac:dyDescent="0.25">
      <c r="A3" s="1138" t="s">
        <v>102</v>
      </c>
      <c r="B3" s="78"/>
      <c r="C3" s="112" t="s">
        <v>104</v>
      </c>
      <c r="D3" s="113"/>
      <c r="E3" s="113"/>
      <c r="F3" s="114"/>
      <c r="G3" s="113"/>
      <c r="H3" s="113"/>
      <c r="I3" s="113"/>
      <c r="J3" s="113"/>
      <c r="K3" s="1133" t="s">
        <v>105</v>
      </c>
      <c r="L3" s="1134"/>
      <c r="M3" s="1134"/>
      <c r="N3" s="1134"/>
      <c r="O3" s="1134"/>
      <c r="P3" s="1135"/>
      <c r="Q3"/>
      <c r="R3"/>
    </row>
    <row r="4" spans="1:18" ht="21.75" customHeight="1" thickTop="1" x14ac:dyDescent="0.2">
      <c r="A4" s="1139"/>
      <c r="B4" s="238" t="s">
        <v>52</v>
      </c>
      <c r="C4" s="115" t="s">
        <v>148</v>
      </c>
      <c r="D4" s="116"/>
      <c r="E4" s="1130" t="s">
        <v>81</v>
      </c>
      <c r="F4" s="1131"/>
      <c r="G4" s="1132" t="s">
        <v>44</v>
      </c>
      <c r="H4" s="1132"/>
      <c r="I4" s="1136" t="s">
        <v>559</v>
      </c>
      <c r="J4" s="1137"/>
      <c r="K4" s="115" t="s">
        <v>148</v>
      </c>
      <c r="L4" s="117"/>
      <c r="M4" s="118" t="s">
        <v>81</v>
      </c>
      <c r="N4" s="117"/>
      <c r="O4" s="118" t="s">
        <v>44</v>
      </c>
      <c r="P4" s="117"/>
      <c r="Q4"/>
      <c r="R4"/>
    </row>
    <row r="5" spans="1:18" ht="10.8" thickBot="1" x14ac:dyDescent="0.25">
      <c r="A5" s="688" t="s">
        <v>518</v>
      </c>
      <c r="B5" s="239"/>
      <c r="C5" s="119" t="s">
        <v>53</v>
      </c>
      <c r="D5" s="120" t="s">
        <v>54</v>
      </c>
      <c r="E5" s="121" t="s">
        <v>53</v>
      </c>
      <c r="F5" s="120" t="s">
        <v>54</v>
      </c>
      <c r="G5" s="121" t="s">
        <v>53</v>
      </c>
      <c r="H5" s="120" t="s">
        <v>54</v>
      </c>
      <c r="I5" s="121" t="s">
        <v>53</v>
      </c>
      <c r="J5" s="120" t="s">
        <v>54</v>
      </c>
      <c r="K5" s="122" t="s">
        <v>53</v>
      </c>
      <c r="L5" s="123" t="s">
        <v>54</v>
      </c>
      <c r="M5" s="124" t="s">
        <v>53</v>
      </c>
      <c r="N5" s="123" t="s">
        <v>54</v>
      </c>
      <c r="O5" s="124" t="s">
        <v>53</v>
      </c>
      <c r="P5" s="123" t="s">
        <v>54</v>
      </c>
      <c r="Q5"/>
      <c r="R5"/>
    </row>
    <row r="6" spans="1:18" ht="12.75" customHeight="1" thickTop="1" x14ac:dyDescent="0.2">
      <c r="A6" s="16" t="str">
        <f>'t1'!A6</f>
        <v>PROFESSORI DI PRIMA FASCIA</v>
      </c>
      <c r="B6" s="240" t="str">
        <f>'t1'!B6</f>
        <v>018P01</v>
      </c>
      <c r="C6" s="191">
        <v>2</v>
      </c>
      <c r="D6" s="192">
        <v>1</v>
      </c>
      <c r="E6" s="193"/>
      <c r="F6" s="433"/>
      <c r="G6" s="435"/>
      <c r="H6" s="192"/>
      <c r="I6" s="435"/>
      <c r="J6" s="192"/>
      <c r="K6" s="194"/>
      <c r="L6" s="195"/>
      <c r="M6" s="196"/>
      <c r="N6" s="488"/>
      <c r="O6" s="489"/>
      <c r="P6" s="474"/>
      <c r="Q6">
        <f>'t1'!M6</f>
        <v>89</v>
      </c>
      <c r="R6"/>
    </row>
    <row r="7" spans="1:18" ht="12.75" customHeight="1" x14ac:dyDescent="0.2">
      <c r="A7" s="15" t="str">
        <f>'t1'!A7</f>
        <v>DIRETTORE AMMINISTRATIVO EP2</v>
      </c>
      <c r="B7" s="241" t="str">
        <f>'t1'!B7</f>
        <v>013504</v>
      </c>
      <c r="C7" s="191"/>
      <c r="D7" s="192"/>
      <c r="E7" s="193"/>
      <c r="F7" s="433"/>
      <c r="G7" s="200"/>
      <c r="H7" s="192"/>
      <c r="I7" s="200"/>
      <c r="J7" s="192"/>
      <c r="K7" s="194"/>
      <c r="L7" s="195"/>
      <c r="M7" s="196"/>
      <c r="N7" s="490"/>
      <c r="O7" s="491"/>
      <c r="P7" s="475"/>
      <c r="Q7">
        <f>'t1'!M7</f>
        <v>0</v>
      </c>
      <c r="R7"/>
    </row>
    <row r="8" spans="1:18" ht="12.75" customHeight="1" x14ac:dyDescent="0.2">
      <c r="A8" s="15" t="str">
        <f>'t1'!A8</f>
        <v>DIRETTORE DELL UFFICIO DI RAGIONERIA (EP1)</v>
      </c>
      <c r="B8" s="241" t="str">
        <f>'t1'!B8</f>
        <v>013159</v>
      </c>
      <c r="C8" s="191"/>
      <c r="D8" s="192"/>
      <c r="E8" s="193"/>
      <c r="F8" s="433"/>
      <c r="G8" s="200"/>
      <c r="H8" s="192"/>
      <c r="I8" s="200"/>
      <c r="J8" s="192"/>
      <c r="K8" s="194"/>
      <c r="L8" s="195"/>
      <c r="M8" s="196"/>
      <c r="N8" s="490"/>
      <c r="O8" s="491"/>
      <c r="P8" s="475"/>
      <c r="Q8">
        <f>'t1'!M8</f>
        <v>0</v>
      </c>
      <c r="R8"/>
    </row>
    <row r="9" spans="1:18" ht="12.75" customHeight="1" x14ac:dyDescent="0.2">
      <c r="A9" s="15" t="str">
        <f>'t1'!A9</f>
        <v>COLLABORATORE AREA III</v>
      </c>
      <c r="B9" s="241" t="str">
        <f>'t1'!B9</f>
        <v>013CTE</v>
      </c>
      <c r="C9" s="191"/>
      <c r="D9" s="192"/>
      <c r="E9" s="193"/>
      <c r="F9" s="433"/>
      <c r="G9" s="200"/>
      <c r="H9" s="192"/>
      <c r="I9" s="200"/>
      <c r="J9" s="192"/>
      <c r="K9" s="194"/>
      <c r="L9" s="195"/>
      <c r="M9" s="196"/>
      <c r="N9" s="490"/>
      <c r="O9" s="491"/>
      <c r="P9" s="475"/>
      <c r="Q9">
        <f>'t1'!M9</f>
        <v>1</v>
      </c>
      <c r="R9"/>
    </row>
    <row r="10" spans="1:18" ht="12.75" customHeight="1" x14ac:dyDescent="0.2">
      <c r="A10" s="15" t="str">
        <f>'t1'!A10</f>
        <v>ASSISTENTE AREA II</v>
      </c>
      <c r="B10" s="241" t="str">
        <f>'t1'!B10</f>
        <v>012117</v>
      </c>
      <c r="C10" s="191"/>
      <c r="D10" s="192"/>
      <c r="E10" s="193"/>
      <c r="F10" s="433"/>
      <c r="G10" s="200"/>
      <c r="H10" s="192"/>
      <c r="I10" s="200"/>
      <c r="J10" s="192">
        <v>1</v>
      </c>
      <c r="K10" s="194"/>
      <c r="L10" s="195"/>
      <c r="M10" s="196"/>
      <c r="N10" s="490"/>
      <c r="O10" s="491"/>
      <c r="P10" s="475"/>
      <c r="Q10">
        <f>'t1'!M10</f>
        <v>13</v>
      </c>
      <c r="R10"/>
    </row>
    <row r="11" spans="1:18" ht="12.75" customHeight="1" x14ac:dyDescent="0.2">
      <c r="A11" s="15" t="str">
        <f>'t1'!A11</f>
        <v>COADIUTORE AREA I</v>
      </c>
      <c r="B11" s="241" t="str">
        <f>'t1'!B11</f>
        <v>011121</v>
      </c>
      <c r="C11" s="191"/>
      <c r="D11" s="192"/>
      <c r="E11" s="193"/>
      <c r="F11" s="433"/>
      <c r="G11" s="200"/>
      <c r="H11" s="192"/>
      <c r="I11" s="200"/>
      <c r="J11" s="192"/>
      <c r="K11" s="194"/>
      <c r="L11" s="195"/>
      <c r="M11" s="196"/>
      <c r="N11" s="490"/>
      <c r="O11" s="491"/>
      <c r="P11" s="475"/>
      <c r="Q11">
        <f>'t1'!M11</f>
        <v>14</v>
      </c>
      <c r="R11"/>
    </row>
    <row r="12" spans="1:18" ht="12.75" customHeight="1" x14ac:dyDescent="0.2">
      <c r="A12" s="15" t="str">
        <f>'t1'!A12</f>
        <v>PROFESSORI DI PRIMA FASCIA TEMPO DET.ANNUALE</v>
      </c>
      <c r="B12" s="241" t="str">
        <f>'t1'!B12</f>
        <v>018PD1</v>
      </c>
      <c r="C12" s="191"/>
      <c r="D12" s="192"/>
      <c r="E12" s="193"/>
      <c r="F12" s="433"/>
      <c r="G12" s="200"/>
      <c r="H12" s="192"/>
      <c r="I12" s="200"/>
      <c r="J12" s="192"/>
      <c r="K12" s="194"/>
      <c r="L12" s="195"/>
      <c r="M12" s="196"/>
      <c r="N12" s="490"/>
      <c r="O12" s="491"/>
      <c r="P12" s="475"/>
      <c r="Q12">
        <f>'t1'!M12</f>
        <v>21</v>
      </c>
      <c r="R12"/>
    </row>
    <row r="13" spans="1:18" ht="12.75" customHeight="1" x14ac:dyDescent="0.2">
      <c r="A13" s="15" t="str">
        <f>'t1'!A13</f>
        <v>DIRETTORE AMMINISTRATIVO TEMPO DET.ANNUALE (EP2)</v>
      </c>
      <c r="B13" s="241" t="str">
        <f>'t1'!B13</f>
        <v>013EP2</v>
      </c>
      <c r="C13" s="191"/>
      <c r="D13" s="192"/>
      <c r="E13" s="193"/>
      <c r="F13" s="433"/>
      <c r="G13" s="200"/>
      <c r="H13" s="192"/>
      <c r="I13" s="200"/>
      <c r="J13" s="192"/>
      <c r="K13" s="194"/>
      <c r="L13" s="195"/>
      <c r="M13" s="196"/>
      <c r="N13" s="490"/>
      <c r="O13" s="491"/>
      <c r="P13" s="475"/>
      <c r="Q13">
        <f>'t1'!M13</f>
        <v>1</v>
      </c>
      <c r="R13"/>
    </row>
    <row r="14" spans="1:18" ht="12.75" customHeight="1" x14ac:dyDescent="0.2">
      <c r="A14" s="15" t="str">
        <f>'t1'!A14</f>
        <v>DIRETTORE DELL UFFICIO DI RAGIONERIA TEMPO DET.ANNUALE (EP1)</v>
      </c>
      <c r="B14" s="241" t="str">
        <f>'t1'!B14</f>
        <v>013160</v>
      </c>
      <c r="C14" s="191"/>
      <c r="D14" s="192"/>
      <c r="E14" s="193"/>
      <c r="F14" s="433"/>
      <c r="G14" s="200"/>
      <c r="H14" s="192"/>
      <c r="I14" s="200"/>
      <c r="J14" s="192"/>
      <c r="K14" s="194"/>
      <c r="L14" s="195"/>
      <c r="M14" s="196"/>
      <c r="N14" s="490"/>
      <c r="O14" s="491"/>
      <c r="P14" s="475"/>
      <c r="Q14">
        <f>'t1'!M14</f>
        <v>1</v>
      </c>
      <c r="R14"/>
    </row>
    <row r="15" spans="1:18" ht="12.75" customHeight="1" x14ac:dyDescent="0.2">
      <c r="A15" s="15" t="str">
        <f>'t1'!A15</f>
        <v>COLLABORATORE AREA III TEMPO DET. ANNUALE</v>
      </c>
      <c r="B15" s="241" t="str">
        <f>'t1'!B15</f>
        <v>013CDE</v>
      </c>
      <c r="C15" s="191"/>
      <c r="D15" s="192"/>
      <c r="E15" s="193"/>
      <c r="F15" s="433"/>
      <c r="G15" s="200"/>
      <c r="H15" s="192"/>
      <c r="I15" s="200"/>
      <c r="J15" s="192"/>
      <c r="K15" s="194"/>
      <c r="L15" s="195"/>
      <c r="M15" s="196"/>
      <c r="N15" s="490"/>
      <c r="O15" s="491"/>
      <c r="P15" s="475"/>
      <c r="Q15">
        <f>'t1'!M15</f>
        <v>0</v>
      </c>
      <c r="R15"/>
    </row>
    <row r="16" spans="1:18" ht="12.75" customHeight="1" x14ac:dyDescent="0.2">
      <c r="A16" s="15" t="str">
        <f>'t1'!A16</f>
        <v>ASSISTENTE AREA II TEMPO DET. ANNUALE</v>
      </c>
      <c r="B16" s="241" t="str">
        <f>'t1'!B16</f>
        <v>012118</v>
      </c>
      <c r="C16" s="191"/>
      <c r="D16" s="192"/>
      <c r="E16" s="193"/>
      <c r="F16" s="433"/>
      <c r="G16" s="200"/>
      <c r="H16" s="192"/>
      <c r="I16" s="200"/>
      <c r="J16" s="192"/>
      <c r="K16" s="194"/>
      <c r="L16" s="195"/>
      <c r="M16" s="196"/>
      <c r="N16" s="490"/>
      <c r="O16" s="491"/>
      <c r="P16" s="475"/>
      <c r="Q16">
        <f>'t1'!M16</f>
        <v>6</v>
      </c>
      <c r="R16"/>
    </row>
    <row r="17" spans="1:18" ht="12.75" customHeight="1" thickBot="1" x14ac:dyDescent="0.25">
      <c r="A17" s="15" t="str">
        <f>'t1'!A17</f>
        <v>COADIUTORE AREA I TEMPO DET.ANNUALE</v>
      </c>
      <c r="B17" s="241" t="str">
        <f>'t1'!B17</f>
        <v>011124</v>
      </c>
      <c r="C17" s="191"/>
      <c r="D17" s="192"/>
      <c r="E17" s="193"/>
      <c r="F17" s="433"/>
      <c r="G17" s="200"/>
      <c r="H17" s="192"/>
      <c r="I17" s="200"/>
      <c r="J17" s="192"/>
      <c r="K17" s="194"/>
      <c r="L17" s="195"/>
      <c r="M17" s="196"/>
      <c r="N17" s="490"/>
      <c r="O17" s="491"/>
      <c r="P17" s="475"/>
      <c r="Q17">
        <f>'t1'!M17</f>
        <v>5</v>
      </c>
      <c r="R17"/>
    </row>
    <row r="18" spans="1:18" ht="15.75" customHeight="1" thickTop="1" thickBot="1" x14ac:dyDescent="0.25">
      <c r="A18" s="83" t="s">
        <v>55</v>
      </c>
      <c r="B18" s="136"/>
      <c r="C18" s="365">
        <f t="shared" ref="C18:P18" si="0">SUM(C6:C17)</f>
        <v>2</v>
      </c>
      <c r="D18" s="366">
        <f t="shared" si="0"/>
        <v>1</v>
      </c>
      <c r="E18" s="367">
        <f t="shared" si="0"/>
        <v>0</v>
      </c>
      <c r="F18" s="434">
        <f t="shared" si="0"/>
        <v>0</v>
      </c>
      <c r="G18" s="367">
        <f t="shared" si="0"/>
        <v>0</v>
      </c>
      <c r="H18" s="432">
        <f t="shared" si="0"/>
        <v>0</v>
      </c>
      <c r="I18" s="367">
        <f t="shared" si="0"/>
        <v>0</v>
      </c>
      <c r="J18" s="432">
        <f t="shared" si="0"/>
        <v>1</v>
      </c>
      <c r="K18" s="365">
        <f t="shared" si="0"/>
        <v>0</v>
      </c>
      <c r="L18" s="366">
        <f t="shared" si="0"/>
        <v>0</v>
      </c>
      <c r="M18" s="367">
        <f t="shared" si="0"/>
        <v>0</v>
      </c>
      <c r="N18" s="366">
        <f t="shared" si="0"/>
        <v>0</v>
      </c>
      <c r="O18" s="492">
        <f t="shared" si="0"/>
        <v>0</v>
      </c>
      <c r="P18" s="447">
        <f t="shared" si="0"/>
        <v>0</v>
      </c>
      <c r="Q18"/>
      <c r="R18"/>
    </row>
    <row r="19" spans="1:18" x14ac:dyDescent="0.2">
      <c r="A19" s="17"/>
      <c r="B19" s="137"/>
      <c r="C19" s="3"/>
      <c r="D19" s="3"/>
      <c r="E19" s="3"/>
      <c r="F19" s="3"/>
      <c r="G19" s="3"/>
      <c r="H19" s="3"/>
      <c r="I19" s="3"/>
      <c r="J19" s="3"/>
      <c r="K19" s="3"/>
      <c r="L19" s="3"/>
      <c r="M19" s="3"/>
      <c r="N19" s="3"/>
    </row>
    <row r="20" spans="1:18" x14ac:dyDescent="0.2">
      <c r="A20" s="17" t="s">
        <v>204</v>
      </c>
      <c r="B20" s="138"/>
    </row>
    <row r="21" spans="1:18" x14ac:dyDescent="0.2">
      <c r="A21" s="66" t="s">
        <v>106</v>
      </c>
    </row>
  </sheetData>
  <sheetProtection password="DD41" sheet="1" formatColumns="0" selectLockedCells="1"/>
  <mergeCells count="7">
    <mergeCell ref="A1:L1"/>
    <mergeCell ref="F2:N2"/>
    <mergeCell ref="E4:F4"/>
    <mergeCell ref="G4:H4"/>
    <mergeCell ref="K3:P3"/>
    <mergeCell ref="I4:J4"/>
    <mergeCell ref="A3:A4"/>
  </mergeCells>
  <phoneticPr fontId="30" type="noConversion"/>
  <conditionalFormatting sqref="A6:J17">
    <cfRule type="expression" dxfId="26" priority="5" stopIfTrue="1">
      <formula>$Q6&gt;0</formula>
    </cfRule>
  </conditionalFormatting>
  <printOptions horizontalCentered="1" verticalCentered="1"/>
  <pageMargins left="0" right="0" top="0.19685039370078741" bottom="0.15748031496062992" header="0.19685039370078741" footer="0.19685039370078741"/>
  <pageSetup paperSize="9" scale="75"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11"/>
  <dimension ref="A1:Q38"/>
  <sheetViews>
    <sheetView showGridLines="0" workbookViewId="0">
      <pane xSplit="2" ySplit="14" topLeftCell="C15" activePane="bottomRight" state="frozen"/>
      <selection activeCell="E11" sqref="E11"/>
      <selection pane="topRight" activeCell="E11" sqref="E11"/>
      <selection pane="bottomLeft" activeCell="E11" sqref="E11"/>
      <selection pane="bottomRight" activeCell="H26" sqref="H26"/>
    </sheetView>
  </sheetViews>
  <sheetFormatPr defaultColWidth="9.28515625" defaultRowHeight="10.199999999999999" x14ac:dyDescent="0.2"/>
  <cols>
    <col min="1" max="1" width="57.7109375" style="3" customWidth="1"/>
    <col min="2" max="2" width="9.140625" style="2" customWidth="1"/>
    <col min="3" max="4" width="6.28515625" style="2" customWidth="1"/>
    <col min="5" max="14" width="6.28515625" style="3" customWidth="1"/>
    <col min="15" max="15" width="12" style="3" customWidth="1"/>
    <col min="16" max="38" width="3.7109375" style="3" customWidth="1"/>
    <col min="39" max="16384" width="9.28515625" style="3"/>
  </cols>
  <sheetData>
    <row r="1" spans="1:15" ht="43.5" customHeight="1" x14ac:dyDescent="0.2">
      <c r="A1" s="1097" t="str">
        <f>'t1'!A1</f>
        <v>AFAM - anno 2023</v>
      </c>
      <c r="B1" s="1097"/>
      <c r="C1" s="1097"/>
      <c r="D1" s="1097"/>
      <c r="E1" s="1097"/>
      <c r="F1" s="1097"/>
      <c r="G1" s="1097"/>
      <c r="H1" s="1097"/>
      <c r="I1" s="1097"/>
      <c r="J1" s="1097"/>
      <c r="K1" s="1097"/>
      <c r="L1" s="1097"/>
      <c r="M1" s="1097"/>
      <c r="N1" s="1097"/>
      <c r="O1" s="268"/>
    </row>
    <row r="2" spans="1:15" ht="40.200000000000003" customHeight="1" thickBot="1" x14ac:dyDescent="0.25">
      <c r="A2" s="1"/>
      <c r="O2" s="408"/>
    </row>
    <row r="3" spans="1:15" ht="10.199999999999999" hidden="1" customHeight="1" x14ac:dyDescent="0.2">
      <c r="A3" s="1"/>
      <c r="O3" s="493"/>
    </row>
    <row r="4" spans="1:15" ht="10.199999999999999" hidden="1" customHeight="1" x14ac:dyDescent="0.2">
      <c r="A4" s="1"/>
      <c r="O4" s="493"/>
    </row>
    <row r="5" spans="1:15" ht="10.199999999999999" hidden="1" customHeight="1" x14ac:dyDescent="0.2">
      <c r="A5" s="1"/>
      <c r="O5" s="493"/>
    </row>
    <row r="6" spans="1:15" ht="10.199999999999999" hidden="1" customHeight="1" x14ac:dyDescent="0.2">
      <c r="A6" s="1"/>
      <c r="O6" s="493"/>
    </row>
    <row r="7" spans="1:15" ht="10.199999999999999" hidden="1" customHeight="1" x14ac:dyDescent="0.2">
      <c r="A7" s="1"/>
      <c r="O7" s="493"/>
    </row>
    <row r="8" spans="1:15" ht="10.199999999999999" hidden="1" customHeight="1" x14ac:dyDescent="0.2">
      <c r="A8" s="1"/>
      <c r="O8" s="493"/>
    </row>
    <row r="9" spans="1:15" ht="10.199999999999999" hidden="1" customHeight="1" x14ac:dyDescent="0.2">
      <c r="A9" s="1"/>
      <c r="O9" s="493"/>
    </row>
    <row r="10" spans="1:15" ht="10.199999999999999" hidden="1" customHeight="1" x14ac:dyDescent="0.2">
      <c r="A10" s="1"/>
      <c r="O10" s="493"/>
    </row>
    <row r="11" spans="1:15" ht="10.199999999999999" hidden="1" customHeight="1" thickBot="1" x14ac:dyDescent="0.25">
      <c r="A11" s="1"/>
      <c r="O11" s="493"/>
    </row>
    <row r="12" spans="1:15" ht="13.8" thickBot="1" x14ac:dyDescent="0.25">
      <c r="A12" s="261"/>
      <c r="B12" s="8"/>
      <c r="C12" s="1142" t="s">
        <v>51</v>
      </c>
      <c r="D12" s="1142"/>
      <c r="E12" s="1142"/>
      <c r="F12" s="1142"/>
      <c r="G12" s="1142"/>
      <c r="H12" s="1142"/>
      <c r="I12" s="1142"/>
      <c r="J12" s="1142"/>
      <c r="K12" s="1142"/>
      <c r="L12" s="1142"/>
      <c r="M12" s="1142"/>
      <c r="N12" s="1142"/>
      <c r="O12" s="189"/>
    </row>
    <row r="13" spans="1:15" s="87" customFormat="1" ht="16.5" customHeight="1" thickTop="1" x14ac:dyDescent="0.25">
      <c r="A13" s="264"/>
      <c r="B13" s="262"/>
      <c r="C13" s="1140" t="s">
        <v>143</v>
      </c>
      <c r="D13" s="1141"/>
      <c r="E13" s="1141"/>
      <c r="F13" s="1141"/>
      <c r="G13" s="1141"/>
      <c r="H13" s="1141"/>
      <c r="I13" s="1141"/>
      <c r="J13" s="1141"/>
      <c r="K13" s="1141"/>
      <c r="L13" s="1141"/>
      <c r="M13" s="1141"/>
      <c r="N13" s="1141"/>
      <c r="O13" s="265"/>
    </row>
    <row r="14" spans="1:15" ht="63.75" customHeight="1" thickBot="1" x14ac:dyDescent="0.25">
      <c r="A14" s="260" t="s">
        <v>215</v>
      </c>
      <c r="B14" s="263" t="s">
        <v>216</v>
      </c>
      <c r="C14" s="210" t="str">
        <f>B15</f>
        <v>018P01</v>
      </c>
      <c r="D14" s="211" t="str">
        <f>B16</f>
        <v>013504</v>
      </c>
      <c r="E14" s="211" t="str">
        <f>B17</f>
        <v>013159</v>
      </c>
      <c r="F14" s="211" t="str">
        <f>B18</f>
        <v>013CTE</v>
      </c>
      <c r="G14" s="211" t="str">
        <f>B19</f>
        <v>012117</v>
      </c>
      <c r="H14" s="211" t="str">
        <f>B20</f>
        <v>011121</v>
      </c>
      <c r="I14" s="211" t="str">
        <f>B21</f>
        <v>018PD1</v>
      </c>
      <c r="J14" s="211" t="str">
        <f>B22</f>
        <v>013EP2</v>
      </c>
      <c r="K14" s="212" t="str">
        <f>B23</f>
        <v>013160</v>
      </c>
      <c r="L14" s="212" t="str">
        <f>B24</f>
        <v>013CDE</v>
      </c>
      <c r="M14" s="211" t="str">
        <f>B25</f>
        <v>012118</v>
      </c>
      <c r="N14" s="211" t="str">
        <f>B26</f>
        <v>011124</v>
      </c>
      <c r="O14" s="266" t="s">
        <v>101</v>
      </c>
    </row>
    <row r="15" spans="1:15" ht="12" customHeight="1" thickTop="1" x14ac:dyDescent="0.2">
      <c r="A15" s="15" t="str">
        <f>'t1'!A6</f>
        <v>PROFESSORI DI PRIMA FASCIA</v>
      </c>
      <c r="B15" s="125" t="str">
        <f>'t1'!B6</f>
        <v>018P01</v>
      </c>
      <c r="C15" s="213"/>
      <c r="D15" s="213"/>
      <c r="E15" s="213"/>
      <c r="F15" s="213"/>
      <c r="G15" s="214"/>
      <c r="H15" s="214"/>
      <c r="I15" s="214"/>
      <c r="J15" s="214"/>
      <c r="K15" s="214"/>
      <c r="L15" s="214"/>
      <c r="M15" s="214"/>
      <c r="N15" s="214"/>
      <c r="O15" s="368">
        <f t="shared" ref="O15:O26" si="0">SUM(C15:N15)</f>
        <v>0</v>
      </c>
    </row>
    <row r="16" spans="1:15" ht="12" customHeight="1" x14ac:dyDescent="0.2">
      <c r="A16" s="126" t="str">
        <f>'t1'!A7</f>
        <v>DIRETTORE AMMINISTRATIVO EP2</v>
      </c>
      <c r="B16" s="190" t="str">
        <f>'t1'!B7</f>
        <v>013504</v>
      </c>
      <c r="C16" s="213"/>
      <c r="D16" s="213"/>
      <c r="E16" s="213"/>
      <c r="F16" s="213"/>
      <c r="G16" s="214"/>
      <c r="H16" s="214"/>
      <c r="I16" s="214"/>
      <c r="J16" s="214"/>
      <c r="K16" s="214"/>
      <c r="L16" s="214"/>
      <c r="M16" s="214"/>
      <c r="N16" s="214"/>
      <c r="O16" s="368">
        <f t="shared" si="0"/>
        <v>0</v>
      </c>
    </row>
    <row r="17" spans="1:15" ht="12" customHeight="1" x14ac:dyDescent="0.2">
      <c r="A17" s="126" t="str">
        <f>'t1'!A8</f>
        <v>DIRETTORE DELL UFFICIO DI RAGIONERIA (EP1)</v>
      </c>
      <c r="B17" s="190" t="str">
        <f>'t1'!B8</f>
        <v>013159</v>
      </c>
      <c r="C17" s="213"/>
      <c r="D17" s="213"/>
      <c r="E17" s="213"/>
      <c r="F17" s="213"/>
      <c r="G17" s="214"/>
      <c r="H17" s="214"/>
      <c r="I17" s="214"/>
      <c r="J17" s="214"/>
      <c r="K17" s="214"/>
      <c r="L17" s="214"/>
      <c r="M17" s="214"/>
      <c r="N17" s="214"/>
      <c r="O17" s="368">
        <f t="shared" si="0"/>
        <v>0</v>
      </c>
    </row>
    <row r="18" spans="1:15" ht="12" customHeight="1" x14ac:dyDescent="0.2">
      <c r="A18" s="126" t="str">
        <f>'t1'!A9</f>
        <v>COLLABORATORE AREA III</v>
      </c>
      <c r="B18" s="190" t="str">
        <f>'t1'!B9</f>
        <v>013CTE</v>
      </c>
      <c r="C18" s="216"/>
      <c r="D18" s="217"/>
      <c r="E18" s="213"/>
      <c r="F18" s="213"/>
      <c r="G18" s="214"/>
      <c r="H18" s="214"/>
      <c r="I18" s="214"/>
      <c r="J18" s="214"/>
      <c r="K18" s="214"/>
      <c r="L18" s="214"/>
      <c r="M18" s="214"/>
      <c r="N18" s="214"/>
      <c r="O18" s="368">
        <f t="shared" si="0"/>
        <v>0</v>
      </c>
    </row>
    <row r="19" spans="1:15" ht="12" customHeight="1" x14ac:dyDescent="0.2">
      <c r="A19" s="126" t="str">
        <f>'t1'!A10</f>
        <v>ASSISTENTE AREA II</v>
      </c>
      <c r="B19" s="190" t="str">
        <f>'t1'!B10</f>
        <v>012117</v>
      </c>
      <c r="C19" s="216"/>
      <c r="D19" s="217"/>
      <c r="E19" s="213"/>
      <c r="F19" s="213"/>
      <c r="G19" s="214"/>
      <c r="H19" s="214"/>
      <c r="I19" s="214"/>
      <c r="J19" s="214"/>
      <c r="K19" s="214"/>
      <c r="L19" s="214"/>
      <c r="M19" s="214"/>
      <c r="N19" s="214"/>
      <c r="O19" s="368">
        <f t="shared" si="0"/>
        <v>0</v>
      </c>
    </row>
    <row r="20" spans="1:15" ht="12" customHeight="1" x14ac:dyDescent="0.2">
      <c r="A20" s="126" t="str">
        <f>'t1'!A11</f>
        <v>COADIUTORE AREA I</v>
      </c>
      <c r="B20" s="190" t="str">
        <f>'t1'!B11</f>
        <v>011121</v>
      </c>
      <c r="C20" s="213"/>
      <c r="D20" s="213"/>
      <c r="E20" s="213"/>
      <c r="F20" s="213"/>
      <c r="G20" s="214"/>
      <c r="H20" s="214"/>
      <c r="I20" s="214"/>
      <c r="J20" s="214"/>
      <c r="K20" s="214"/>
      <c r="L20" s="214"/>
      <c r="M20" s="214"/>
      <c r="N20" s="214"/>
      <c r="O20" s="368">
        <f t="shared" si="0"/>
        <v>0</v>
      </c>
    </row>
    <row r="21" spans="1:15" ht="12" customHeight="1" x14ac:dyDescent="0.2">
      <c r="A21" s="126" t="str">
        <f>'t1'!A12</f>
        <v>PROFESSORI DI PRIMA FASCIA TEMPO DET.ANNUALE</v>
      </c>
      <c r="B21" s="190" t="str">
        <f>'t1'!B12</f>
        <v>018PD1</v>
      </c>
      <c r="C21" s="218"/>
      <c r="D21" s="218"/>
      <c r="E21" s="218"/>
      <c r="F21" s="218"/>
      <c r="G21" s="217"/>
      <c r="H21" s="217"/>
      <c r="I21" s="217"/>
      <c r="J21" s="217"/>
      <c r="K21" s="217"/>
      <c r="L21" s="217"/>
      <c r="M21" s="217"/>
      <c r="N21" s="217"/>
      <c r="O21" s="368">
        <f t="shared" si="0"/>
        <v>0</v>
      </c>
    </row>
    <row r="22" spans="1:15" ht="12" customHeight="1" x14ac:dyDescent="0.2">
      <c r="A22" s="126" t="str">
        <f>'t1'!A13</f>
        <v>DIRETTORE AMMINISTRATIVO TEMPO DET.ANNUALE (EP2)</v>
      </c>
      <c r="B22" s="190" t="str">
        <f>'t1'!B13</f>
        <v>013EP2</v>
      </c>
      <c r="C22" s="218"/>
      <c r="D22" s="217"/>
      <c r="E22" s="217"/>
      <c r="F22" s="217"/>
      <c r="G22" s="217"/>
      <c r="H22" s="217"/>
      <c r="I22" s="217"/>
      <c r="J22" s="217"/>
      <c r="K22" s="217"/>
      <c r="L22" s="217"/>
      <c r="M22" s="217"/>
      <c r="N22" s="217"/>
      <c r="O22" s="368">
        <f t="shared" si="0"/>
        <v>0</v>
      </c>
    </row>
    <row r="23" spans="1:15" ht="12" customHeight="1" x14ac:dyDescent="0.2">
      <c r="A23" s="126" t="str">
        <f>'t1'!A14</f>
        <v>DIRETTORE DELL UFFICIO DI RAGIONERIA TEMPO DET.ANNUALE (EP1)</v>
      </c>
      <c r="B23" s="190" t="str">
        <f>'t1'!B14</f>
        <v>013160</v>
      </c>
      <c r="C23" s="218"/>
      <c r="D23" s="217"/>
      <c r="E23" s="217"/>
      <c r="F23" s="217"/>
      <c r="G23" s="217"/>
      <c r="H23" s="217"/>
      <c r="I23" s="217"/>
      <c r="J23" s="217"/>
      <c r="K23" s="217"/>
      <c r="L23" s="217"/>
      <c r="M23" s="217"/>
      <c r="N23" s="217"/>
      <c r="O23" s="368">
        <f t="shared" si="0"/>
        <v>0</v>
      </c>
    </row>
    <row r="24" spans="1:15" ht="12" customHeight="1" x14ac:dyDescent="0.2">
      <c r="A24" s="126" t="str">
        <f>'t1'!A15</f>
        <v>COLLABORATORE AREA III TEMPO DET. ANNUALE</v>
      </c>
      <c r="B24" s="190" t="str">
        <f>'t1'!B15</f>
        <v>013CDE</v>
      </c>
      <c r="C24" s="218"/>
      <c r="D24" s="213"/>
      <c r="E24" s="213"/>
      <c r="F24" s="213"/>
      <c r="G24" s="214"/>
      <c r="H24" s="214"/>
      <c r="I24" s="214"/>
      <c r="J24" s="214"/>
      <c r="K24" s="214"/>
      <c r="L24" s="214"/>
      <c r="M24" s="214"/>
      <c r="N24" s="214"/>
      <c r="O24" s="368">
        <f t="shared" si="0"/>
        <v>0</v>
      </c>
    </row>
    <row r="25" spans="1:15" ht="12" customHeight="1" x14ac:dyDescent="0.2">
      <c r="A25" s="126" t="str">
        <f>'t1'!A16</f>
        <v>ASSISTENTE AREA II TEMPO DET. ANNUALE</v>
      </c>
      <c r="B25" s="190" t="str">
        <f>'t1'!B16</f>
        <v>012118</v>
      </c>
      <c r="C25" s="218"/>
      <c r="D25" s="217"/>
      <c r="E25" s="217"/>
      <c r="F25" s="217"/>
      <c r="G25" s="217"/>
      <c r="H25" s="217"/>
      <c r="I25" s="217"/>
      <c r="J25" s="217"/>
      <c r="K25" s="217"/>
      <c r="L25" s="217"/>
      <c r="M25" s="217"/>
      <c r="N25" s="217"/>
      <c r="O25" s="368">
        <f t="shared" si="0"/>
        <v>0</v>
      </c>
    </row>
    <row r="26" spans="1:15" ht="12" customHeight="1" thickBot="1" x14ac:dyDescent="0.25">
      <c r="A26" s="126" t="str">
        <f>'t1'!A17</f>
        <v>COADIUTORE AREA I TEMPO DET.ANNUALE</v>
      </c>
      <c r="B26" s="190" t="str">
        <f>'t1'!B17</f>
        <v>011124</v>
      </c>
      <c r="C26" s="218"/>
      <c r="D26" s="217"/>
      <c r="E26" s="217"/>
      <c r="F26" s="217"/>
      <c r="G26" s="217"/>
      <c r="H26" s="217">
        <v>1</v>
      </c>
      <c r="I26" s="217"/>
      <c r="J26" s="217"/>
      <c r="K26" s="217"/>
      <c r="L26" s="217"/>
      <c r="M26" s="217"/>
      <c r="N26" s="217"/>
      <c r="O26" s="368">
        <f t="shared" si="0"/>
        <v>1</v>
      </c>
    </row>
    <row r="27" spans="1:15" s="89" customFormat="1" ht="17.25" customHeight="1" thickTop="1" thickBot="1" x14ac:dyDescent="0.25">
      <c r="A27" s="187" t="s">
        <v>140</v>
      </c>
      <c r="B27" s="188"/>
      <c r="C27" s="370">
        <f t="shared" ref="C27:O27" si="1">SUM(C15:C26)</f>
        <v>0</v>
      </c>
      <c r="D27" s="371">
        <f t="shared" si="1"/>
        <v>0</v>
      </c>
      <c r="E27" s="371">
        <f t="shared" si="1"/>
        <v>0</v>
      </c>
      <c r="F27" s="371">
        <f t="shared" si="1"/>
        <v>0</v>
      </c>
      <c r="G27" s="371">
        <f t="shared" si="1"/>
        <v>0</v>
      </c>
      <c r="H27" s="371">
        <f t="shared" si="1"/>
        <v>1</v>
      </c>
      <c r="I27" s="371">
        <f t="shared" si="1"/>
        <v>0</v>
      </c>
      <c r="J27" s="371">
        <f t="shared" si="1"/>
        <v>0</v>
      </c>
      <c r="K27" s="371">
        <f t="shared" si="1"/>
        <v>0</v>
      </c>
      <c r="L27" s="371">
        <f t="shared" si="1"/>
        <v>0</v>
      </c>
      <c r="M27" s="371">
        <f t="shared" si="1"/>
        <v>0</v>
      </c>
      <c r="N27" s="371">
        <f t="shared" si="1"/>
        <v>0</v>
      </c>
      <c r="O27" s="369">
        <f t="shared" si="1"/>
        <v>1</v>
      </c>
    </row>
    <row r="28" spans="1:15" ht="17.25" customHeight="1" x14ac:dyDescent="0.2">
      <c r="A28" s="17"/>
    </row>
    <row r="29" spans="1:15" x14ac:dyDescent="0.2">
      <c r="A29" s="17"/>
    </row>
    <row r="38" spans="17:17" x14ac:dyDescent="0.2">
      <c r="Q38" s="132"/>
    </row>
  </sheetData>
  <sheetProtection algorithmName="SHA-512" hashValue="7a1HnaxQuo8J+NGi6KULVxIdqNRqLUpWecmCwgvkILpF+I5l++6FkDWlxzq7UjPWHy6t7xs8mRHdZoD1tebsKA==" saltValue="rhrBR4Fr03D7jK9SHTBGCg==" spinCount="100000" sheet="1" formatColumns="0" selectLockedCells="1"/>
  <mergeCells count="3">
    <mergeCell ref="C13:N13"/>
    <mergeCell ref="C12:N12"/>
    <mergeCell ref="A1:N1"/>
  </mergeCells>
  <phoneticPr fontId="30" type="noConversion"/>
  <printOptions horizontalCentered="1" verticalCentered="1"/>
  <pageMargins left="0" right="0" top="0.19685039370078741" bottom="0.15748031496062992" header="0.19685039370078741" footer="0.19685039370078741"/>
  <pageSetup paperSize="9" scale="75" orientation="landscape" horizontalDpi="300" verticalDpi="429496729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2"/>
  <dimension ref="A1:AA22"/>
  <sheetViews>
    <sheetView showGridLines="0" workbookViewId="0">
      <pane xSplit="2" ySplit="6" topLeftCell="C7" activePane="bottomRight" state="frozen"/>
      <selection activeCell="E11" sqref="E11"/>
      <selection pane="topRight" activeCell="E11" sqref="E11"/>
      <selection pane="bottomLeft" activeCell="E11" sqref="E11"/>
      <selection pane="bottomRight" activeCell="J8" sqref="J8"/>
    </sheetView>
  </sheetViews>
  <sheetFormatPr defaultColWidth="10.7109375" defaultRowHeight="10.199999999999999" x14ac:dyDescent="0.2"/>
  <cols>
    <col min="1" max="1" width="57.7109375" style="76" customWidth="1"/>
    <col min="2" max="2" width="10.7109375" style="85" customWidth="1"/>
    <col min="3" max="14" width="11.140625" style="76" customWidth="1"/>
    <col min="15" max="20" width="9.28515625" style="76" customWidth="1"/>
    <col min="21" max="22" width="10.7109375" style="76" customWidth="1"/>
    <col min="23" max="23" width="6.7109375" style="76" customWidth="1"/>
    <col min="24" max="27" width="10.7109375" style="76" customWidth="1"/>
    <col min="28" max="16384" width="10.7109375" style="76"/>
  </cols>
  <sheetData>
    <row r="1" spans="1:27" s="3" customFormat="1" ht="43.5" customHeight="1" x14ac:dyDescent="0.2">
      <c r="A1" s="1097" t="str">
        <f>'t1'!A1</f>
        <v>AFAM - anno 2023</v>
      </c>
      <c r="B1" s="1097"/>
      <c r="C1" s="1097"/>
      <c r="D1" s="1097"/>
      <c r="E1" s="1097"/>
      <c r="F1" s="1097"/>
      <c r="G1" s="1097"/>
      <c r="H1" s="1097"/>
      <c r="I1" s="1097"/>
      <c r="J1" s="1097"/>
      <c r="K1" s="1097"/>
      <c r="L1" s="1097"/>
      <c r="M1" s="1097"/>
      <c r="N1" s="1097"/>
      <c r="O1" s="1097"/>
      <c r="P1" s="1097"/>
      <c r="Q1" s="1097"/>
      <c r="R1" s="1097"/>
      <c r="S1" s="1097"/>
      <c r="T1" s="1097"/>
      <c r="U1"/>
      <c r="V1" s="268"/>
    </row>
    <row r="2" spans="1:27" s="3" customFormat="1" ht="30" customHeight="1" thickBot="1" x14ac:dyDescent="0.25">
      <c r="A2" s="267"/>
      <c r="B2" s="2"/>
      <c r="I2" s="4"/>
      <c r="O2" s="1129"/>
      <c r="P2" s="1129"/>
      <c r="Q2" s="1129"/>
      <c r="R2" s="1129"/>
      <c r="S2" s="1129"/>
      <c r="T2" s="1129"/>
      <c r="U2" s="1129"/>
      <c r="V2" s="1129"/>
    </row>
    <row r="3" spans="1:27" ht="15" customHeight="1" thickBot="1" x14ac:dyDescent="0.25">
      <c r="A3" s="77"/>
      <c r="B3" s="78"/>
      <c r="C3" s="259" t="s">
        <v>211</v>
      </c>
      <c r="D3" s="79"/>
      <c r="E3" s="79"/>
      <c r="F3" s="79"/>
      <c r="G3" s="79"/>
      <c r="H3" s="79"/>
      <c r="I3" s="79"/>
      <c r="J3" s="79"/>
      <c r="K3" s="79"/>
      <c r="L3" s="79"/>
      <c r="M3" s="79"/>
      <c r="N3" s="79"/>
      <c r="O3" s="79"/>
      <c r="P3" s="79"/>
      <c r="Q3" s="79"/>
      <c r="R3" s="79"/>
      <c r="S3" s="79"/>
      <c r="T3" s="79"/>
      <c r="U3" s="79"/>
      <c r="V3" s="80"/>
      <c r="X3"/>
      <c r="Y3"/>
      <c r="Z3"/>
      <c r="AA3"/>
    </row>
    <row r="4" spans="1:27" ht="30" customHeight="1" thickTop="1" x14ac:dyDescent="0.2">
      <c r="A4" s="237" t="s">
        <v>102</v>
      </c>
      <c r="B4" s="81" t="s">
        <v>52</v>
      </c>
      <c r="C4" s="1143" t="s">
        <v>299</v>
      </c>
      <c r="D4" s="1144"/>
      <c r="E4" s="1143" t="s">
        <v>625</v>
      </c>
      <c r="F4" s="1144"/>
      <c r="G4" s="1143" t="s">
        <v>300</v>
      </c>
      <c r="H4" s="1144"/>
      <c r="I4" s="1143" t="s">
        <v>45</v>
      </c>
      <c r="J4" s="1144"/>
      <c r="K4" s="1143" t="s">
        <v>46</v>
      </c>
      <c r="L4" s="1144"/>
      <c r="M4" s="1143" t="s">
        <v>520</v>
      </c>
      <c r="N4" s="1144"/>
      <c r="O4" s="1143" t="s">
        <v>595</v>
      </c>
      <c r="P4" s="1144"/>
      <c r="Q4" s="1143" t="s">
        <v>652</v>
      </c>
      <c r="R4" s="1144"/>
      <c r="S4" s="1143" t="s">
        <v>80</v>
      </c>
      <c r="T4" s="1144"/>
      <c r="U4" s="1143" t="s">
        <v>55</v>
      </c>
      <c r="V4" s="1147"/>
      <c r="X4"/>
      <c r="Y4"/>
      <c r="Z4"/>
      <c r="AA4"/>
    </row>
    <row r="5" spans="1:27" x14ac:dyDescent="0.2">
      <c r="A5" s="518"/>
      <c r="B5" s="81"/>
      <c r="C5" s="1145" t="s">
        <v>303</v>
      </c>
      <c r="D5" s="1148"/>
      <c r="E5" s="1145" t="s">
        <v>304</v>
      </c>
      <c r="F5" s="1148"/>
      <c r="G5" s="1145" t="s">
        <v>305</v>
      </c>
      <c r="H5" s="1148"/>
      <c r="I5" s="1145" t="s">
        <v>306</v>
      </c>
      <c r="J5" s="1148"/>
      <c r="K5" s="1145" t="s">
        <v>307</v>
      </c>
      <c r="L5" s="1148"/>
      <c r="M5" s="1145" t="s">
        <v>485</v>
      </c>
      <c r="N5" s="1148"/>
      <c r="O5" s="1145" t="s">
        <v>342</v>
      </c>
      <c r="P5" s="1148"/>
      <c r="Q5" s="1145" t="s">
        <v>653</v>
      </c>
      <c r="R5" s="1148"/>
      <c r="S5" s="1145" t="s">
        <v>308</v>
      </c>
      <c r="T5" s="1148"/>
      <c r="U5" s="1145"/>
      <c r="V5" s="1146"/>
      <c r="X5"/>
      <c r="Y5"/>
      <c r="Z5"/>
      <c r="AA5"/>
    </row>
    <row r="6" spans="1:27" ht="10.8" thickBot="1" x14ac:dyDescent="0.25">
      <c r="A6" s="687"/>
      <c r="B6" s="82"/>
      <c r="C6" s="520" t="s">
        <v>53</v>
      </c>
      <c r="D6" s="521" t="s">
        <v>54</v>
      </c>
      <c r="E6" s="520" t="s">
        <v>53</v>
      </c>
      <c r="F6" s="521" t="s">
        <v>54</v>
      </c>
      <c r="G6" s="520" t="s">
        <v>53</v>
      </c>
      <c r="H6" s="521" t="s">
        <v>54</v>
      </c>
      <c r="I6" s="520" t="s">
        <v>53</v>
      </c>
      <c r="J6" s="521" t="s">
        <v>54</v>
      </c>
      <c r="K6" s="520" t="s">
        <v>53</v>
      </c>
      <c r="L6" s="521" t="s">
        <v>54</v>
      </c>
      <c r="M6" s="520" t="s">
        <v>53</v>
      </c>
      <c r="N6" s="521" t="s">
        <v>54</v>
      </c>
      <c r="O6" s="520" t="s">
        <v>53</v>
      </c>
      <c r="P6" s="521" t="s">
        <v>54</v>
      </c>
      <c r="Q6" s="520" t="s">
        <v>53</v>
      </c>
      <c r="R6" s="521" t="s">
        <v>54</v>
      </c>
      <c r="S6" s="520" t="s">
        <v>53</v>
      </c>
      <c r="T6" s="521" t="s">
        <v>54</v>
      </c>
      <c r="U6" s="520" t="s">
        <v>53</v>
      </c>
      <c r="V6" s="522" t="s">
        <v>54</v>
      </c>
      <c r="X6"/>
      <c r="Y6"/>
      <c r="Z6"/>
      <c r="AA6"/>
    </row>
    <row r="7" spans="1:27" ht="12.75" customHeight="1" thickTop="1" x14ac:dyDescent="0.2">
      <c r="A7" s="16" t="str">
        <f>'t1'!A6</f>
        <v>PROFESSORI DI PRIMA FASCIA</v>
      </c>
      <c r="B7" s="197" t="str">
        <f>'t1'!B6</f>
        <v>018P01</v>
      </c>
      <c r="C7" s="193">
        <v>5</v>
      </c>
      <c r="D7" s="198"/>
      <c r="E7" s="193"/>
      <c r="F7" s="198"/>
      <c r="G7" s="193"/>
      <c r="H7" s="198"/>
      <c r="I7" s="193">
        <v>3</v>
      </c>
      <c r="J7" s="198">
        <v>1</v>
      </c>
      <c r="K7" s="435"/>
      <c r="L7" s="192"/>
      <c r="M7" s="193"/>
      <c r="N7" s="198"/>
      <c r="O7" s="199"/>
      <c r="P7" s="198"/>
      <c r="Q7" s="199"/>
      <c r="R7" s="198"/>
      <c r="S7" s="199"/>
      <c r="T7" s="198"/>
      <c r="U7" s="372">
        <f>SUM(C7,E7,G7,I7,K7,M7,O7,Q7,S7)</f>
        <v>8</v>
      </c>
      <c r="V7" s="373">
        <f>SUM(D7,F7,H7,J7,L7,N7,P7,R7,T7)</f>
        <v>1</v>
      </c>
      <c r="X7"/>
      <c r="Y7"/>
      <c r="Z7"/>
      <c r="AA7"/>
    </row>
    <row r="8" spans="1:27" ht="12.75" customHeight="1" x14ac:dyDescent="0.2">
      <c r="A8" s="126" t="str">
        <f>'t1'!A7</f>
        <v>DIRETTORE AMMINISTRATIVO EP2</v>
      </c>
      <c r="B8" s="190" t="str">
        <f>'t1'!B7</f>
        <v>013504</v>
      </c>
      <c r="C8" s="193"/>
      <c r="D8" s="198"/>
      <c r="E8" s="193"/>
      <c r="F8" s="198"/>
      <c r="G8" s="193"/>
      <c r="H8" s="198"/>
      <c r="I8" s="193"/>
      <c r="J8" s="198"/>
      <c r="K8" s="436"/>
      <c r="L8" s="192"/>
      <c r="M8" s="193"/>
      <c r="N8" s="198"/>
      <c r="O8" s="199"/>
      <c r="P8" s="198"/>
      <c r="Q8" s="199"/>
      <c r="R8" s="198"/>
      <c r="S8" s="199"/>
      <c r="T8" s="198"/>
      <c r="U8" s="374">
        <f t="shared" ref="U8:U18" si="0">SUM(C8,E8,G8,I8,K8,M8,O8,Q8,S8)</f>
        <v>0</v>
      </c>
      <c r="V8" s="375">
        <f t="shared" ref="V8:V18" si="1">SUM(D8,F8,H8,J8,L8,N8,P8,R8,T8)</f>
        <v>0</v>
      </c>
      <c r="X8"/>
      <c r="Y8"/>
      <c r="Z8"/>
      <c r="AA8"/>
    </row>
    <row r="9" spans="1:27" ht="12.75" customHeight="1" x14ac:dyDescent="0.2">
      <c r="A9" s="126" t="str">
        <f>'t1'!A8</f>
        <v>DIRETTORE DELL UFFICIO DI RAGIONERIA (EP1)</v>
      </c>
      <c r="B9" s="190" t="str">
        <f>'t1'!B8</f>
        <v>013159</v>
      </c>
      <c r="C9" s="193"/>
      <c r="D9" s="198"/>
      <c r="E9" s="193"/>
      <c r="F9" s="198"/>
      <c r="G9" s="193"/>
      <c r="H9" s="198"/>
      <c r="I9" s="193"/>
      <c r="J9" s="198"/>
      <c r="K9" s="436"/>
      <c r="L9" s="192"/>
      <c r="M9" s="193"/>
      <c r="N9" s="198"/>
      <c r="O9" s="199"/>
      <c r="P9" s="198"/>
      <c r="Q9" s="199"/>
      <c r="R9" s="198"/>
      <c r="S9" s="199"/>
      <c r="T9" s="198"/>
      <c r="U9" s="374">
        <f t="shared" si="0"/>
        <v>0</v>
      </c>
      <c r="V9" s="375">
        <f t="shared" si="1"/>
        <v>0</v>
      </c>
      <c r="X9"/>
      <c r="Y9"/>
      <c r="Z9"/>
      <c r="AA9"/>
    </row>
    <row r="10" spans="1:27" ht="12.75" customHeight="1" x14ac:dyDescent="0.2">
      <c r="A10" s="126" t="str">
        <f>'t1'!A9</f>
        <v>COLLABORATORE AREA III</v>
      </c>
      <c r="B10" s="190" t="str">
        <f>'t1'!B9</f>
        <v>013CTE</v>
      </c>
      <c r="C10" s="193"/>
      <c r="D10" s="198"/>
      <c r="E10" s="193"/>
      <c r="F10" s="198"/>
      <c r="G10" s="193"/>
      <c r="H10" s="198"/>
      <c r="I10" s="193"/>
      <c r="J10" s="198"/>
      <c r="K10" s="436"/>
      <c r="L10" s="192"/>
      <c r="M10" s="193"/>
      <c r="N10" s="198"/>
      <c r="O10" s="199"/>
      <c r="P10" s="198"/>
      <c r="Q10" s="199"/>
      <c r="R10" s="198"/>
      <c r="S10" s="199"/>
      <c r="T10" s="198"/>
      <c r="U10" s="374">
        <f t="shared" si="0"/>
        <v>0</v>
      </c>
      <c r="V10" s="375">
        <f t="shared" si="1"/>
        <v>0</v>
      </c>
      <c r="X10"/>
      <c r="Y10"/>
      <c r="Z10"/>
      <c r="AA10"/>
    </row>
    <row r="11" spans="1:27" ht="12.75" customHeight="1" x14ac:dyDescent="0.2">
      <c r="A11" s="126" t="str">
        <f>'t1'!A10</f>
        <v>ASSISTENTE AREA II</v>
      </c>
      <c r="B11" s="190" t="str">
        <f>'t1'!B10</f>
        <v>012117</v>
      </c>
      <c r="C11" s="193"/>
      <c r="D11" s="198"/>
      <c r="E11" s="193"/>
      <c r="F11" s="198"/>
      <c r="G11" s="193"/>
      <c r="H11" s="198"/>
      <c r="I11" s="193"/>
      <c r="J11" s="198"/>
      <c r="K11" s="436"/>
      <c r="L11" s="192"/>
      <c r="M11" s="193"/>
      <c r="N11" s="198"/>
      <c r="O11" s="199"/>
      <c r="P11" s="198"/>
      <c r="Q11" s="199"/>
      <c r="R11" s="198"/>
      <c r="S11" s="199"/>
      <c r="T11" s="198"/>
      <c r="U11" s="374">
        <f t="shared" si="0"/>
        <v>0</v>
      </c>
      <c r="V11" s="375">
        <f t="shared" si="1"/>
        <v>0</v>
      </c>
      <c r="X11"/>
      <c r="Y11"/>
      <c r="Z11"/>
      <c r="AA11"/>
    </row>
    <row r="12" spans="1:27" ht="12.75" customHeight="1" x14ac:dyDescent="0.2">
      <c r="A12" s="126" t="str">
        <f>'t1'!A11</f>
        <v>COADIUTORE AREA I</v>
      </c>
      <c r="B12" s="190" t="str">
        <f>'t1'!B11</f>
        <v>011121</v>
      </c>
      <c r="C12" s="193"/>
      <c r="D12" s="198"/>
      <c r="E12" s="193"/>
      <c r="F12" s="198"/>
      <c r="G12" s="193"/>
      <c r="H12" s="198"/>
      <c r="I12" s="193"/>
      <c r="J12" s="198"/>
      <c r="K12" s="436"/>
      <c r="L12" s="192"/>
      <c r="M12" s="193"/>
      <c r="N12" s="198"/>
      <c r="O12" s="199"/>
      <c r="P12" s="198"/>
      <c r="Q12" s="199"/>
      <c r="R12" s="198"/>
      <c r="S12" s="199"/>
      <c r="T12" s="198"/>
      <c r="U12" s="374">
        <f t="shared" si="0"/>
        <v>0</v>
      </c>
      <c r="V12" s="375">
        <f t="shared" si="1"/>
        <v>0</v>
      </c>
      <c r="X12"/>
      <c r="Y12"/>
      <c r="Z12"/>
      <c r="AA12"/>
    </row>
    <row r="13" spans="1:27" ht="12.75" customHeight="1" x14ac:dyDescent="0.2">
      <c r="A13" s="126" t="str">
        <f>'t1'!A12</f>
        <v>PROFESSORI DI PRIMA FASCIA TEMPO DET.ANNUALE</v>
      </c>
      <c r="B13" s="190" t="str">
        <f>'t1'!B12</f>
        <v>018PD1</v>
      </c>
      <c r="C13" s="193"/>
      <c r="D13" s="198"/>
      <c r="E13" s="193"/>
      <c r="F13" s="198"/>
      <c r="G13" s="193"/>
      <c r="H13" s="198"/>
      <c r="I13" s="193"/>
      <c r="J13" s="198"/>
      <c r="K13" s="436"/>
      <c r="L13" s="192"/>
      <c r="M13" s="193"/>
      <c r="N13" s="198"/>
      <c r="O13" s="199"/>
      <c r="P13" s="198"/>
      <c r="Q13" s="199"/>
      <c r="R13" s="198"/>
      <c r="S13" s="199"/>
      <c r="T13" s="198"/>
      <c r="U13" s="374">
        <f t="shared" si="0"/>
        <v>0</v>
      </c>
      <c r="V13" s="375">
        <f t="shared" si="1"/>
        <v>0</v>
      </c>
      <c r="X13"/>
      <c r="Y13"/>
      <c r="Z13"/>
      <c r="AA13"/>
    </row>
    <row r="14" spans="1:27" ht="12.75" customHeight="1" x14ac:dyDescent="0.2">
      <c r="A14" s="126" t="str">
        <f>'t1'!A13</f>
        <v>DIRETTORE AMMINISTRATIVO TEMPO DET.ANNUALE (EP2)</v>
      </c>
      <c r="B14" s="190" t="str">
        <f>'t1'!B13</f>
        <v>013EP2</v>
      </c>
      <c r="C14" s="193"/>
      <c r="D14" s="198"/>
      <c r="E14" s="193"/>
      <c r="F14" s="198"/>
      <c r="G14" s="193"/>
      <c r="H14" s="198"/>
      <c r="I14" s="193"/>
      <c r="J14" s="198"/>
      <c r="K14" s="436"/>
      <c r="L14" s="192"/>
      <c r="M14" s="193"/>
      <c r="N14" s="198"/>
      <c r="O14" s="199"/>
      <c r="P14" s="198"/>
      <c r="Q14" s="199"/>
      <c r="R14" s="198"/>
      <c r="S14" s="199"/>
      <c r="T14" s="198"/>
      <c r="U14" s="374">
        <f t="shared" si="0"/>
        <v>0</v>
      </c>
      <c r="V14" s="375">
        <f t="shared" si="1"/>
        <v>0</v>
      </c>
      <c r="X14"/>
      <c r="Y14"/>
      <c r="Z14"/>
      <c r="AA14"/>
    </row>
    <row r="15" spans="1:27" ht="12.75" customHeight="1" x14ac:dyDescent="0.2">
      <c r="A15" s="126" t="str">
        <f>'t1'!A14</f>
        <v>DIRETTORE DELL UFFICIO DI RAGIONERIA TEMPO DET.ANNUALE (EP1)</v>
      </c>
      <c r="B15" s="190" t="str">
        <f>'t1'!B14</f>
        <v>013160</v>
      </c>
      <c r="C15" s="583"/>
      <c r="D15" s="584"/>
      <c r="E15" s="583"/>
      <c r="F15" s="584"/>
      <c r="G15" s="583"/>
      <c r="H15" s="584"/>
      <c r="I15" s="583"/>
      <c r="J15" s="584"/>
      <c r="K15" s="583"/>
      <c r="L15" s="584"/>
      <c r="M15" s="583"/>
      <c r="N15" s="584"/>
      <c r="O15" s="583"/>
      <c r="P15" s="584"/>
      <c r="Q15" s="583"/>
      <c r="R15" s="584"/>
      <c r="S15" s="583"/>
      <c r="T15" s="584"/>
      <c r="U15" s="374">
        <f t="shared" si="0"/>
        <v>0</v>
      </c>
      <c r="V15" s="375">
        <f t="shared" si="1"/>
        <v>0</v>
      </c>
      <c r="X15"/>
      <c r="Y15"/>
      <c r="Z15"/>
      <c r="AA15"/>
    </row>
    <row r="16" spans="1:27" ht="12.75" customHeight="1" x14ac:dyDescent="0.2">
      <c r="A16" s="126" t="str">
        <f>'t1'!A15</f>
        <v>COLLABORATORE AREA III TEMPO DET. ANNUALE</v>
      </c>
      <c r="B16" s="190" t="str">
        <f>'t1'!B15</f>
        <v>013CDE</v>
      </c>
      <c r="C16" s="583"/>
      <c r="D16" s="584"/>
      <c r="E16" s="583"/>
      <c r="F16" s="584"/>
      <c r="G16" s="583"/>
      <c r="H16" s="584"/>
      <c r="I16" s="583"/>
      <c r="J16" s="584"/>
      <c r="K16" s="583"/>
      <c r="L16" s="584"/>
      <c r="M16" s="583"/>
      <c r="N16" s="584"/>
      <c r="O16" s="583"/>
      <c r="P16" s="584"/>
      <c r="Q16" s="583"/>
      <c r="R16" s="584"/>
      <c r="S16" s="583"/>
      <c r="T16" s="584"/>
      <c r="U16" s="374">
        <f t="shared" si="0"/>
        <v>0</v>
      </c>
      <c r="V16" s="375">
        <f t="shared" si="1"/>
        <v>0</v>
      </c>
      <c r="X16"/>
      <c r="Y16"/>
      <c r="Z16"/>
      <c r="AA16"/>
    </row>
    <row r="17" spans="1:27" ht="12.75" customHeight="1" x14ac:dyDescent="0.2">
      <c r="A17" s="126" t="str">
        <f>'t1'!A16</f>
        <v>ASSISTENTE AREA II TEMPO DET. ANNUALE</v>
      </c>
      <c r="B17" s="190" t="str">
        <f>'t1'!B16</f>
        <v>012118</v>
      </c>
      <c r="C17" s="583"/>
      <c r="D17" s="584"/>
      <c r="E17" s="583"/>
      <c r="F17" s="584"/>
      <c r="G17" s="583"/>
      <c r="H17" s="584"/>
      <c r="I17" s="583"/>
      <c r="J17" s="584"/>
      <c r="K17" s="583"/>
      <c r="L17" s="584"/>
      <c r="M17" s="583"/>
      <c r="N17" s="584"/>
      <c r="O17" s="583"/>
      <c r="P17" s="584"/>
      <c r="Q17" s="583"/>
      <c r="R17" s="584"/>
      <c r="S17" s="583"/>
      <c r="T17" s="584"/>
      <c r="U17" s="374">
        <f t="shared" si="0"/>
        <v>0</v>
      </c>
      <c r="V17" s="375">
        <f t="shared" si="1"/>
        <v>0</v>
      </c>
      <c r="X17"/>
      <c r="Y17"/>
      <c r="Z17"/>
      <c r="AA17"/>
    </row>
    <row r="18" spans="1:27" ht="12.75" customHeight="1" thickBot="1" x14ac:dyDescent="0.25">
      <c r="A18" s="126" t="str">
        <f>'t1'!A17</f>
        <v>COADIUTORE AREA I TEMPO DET.ANNUALE</v>
      </c>
      <c r="B18" s="190" t="str">
        <f>'t1'!B17</f>
        <v>011124</v>
      </c>
      <c r="C18" s="583"/>
      <c r="D18" s="584"/>
      <c r="E18" s="583"/>
      <c r="F18" s="584"/>
      <c r="G18" s="583"/>
      <c r="H18" s="584"/>
      <c r="I18" s="583"/>
      <c r="J18" s="584"/>
      <c r="K18" s="583"/>
      <c r="L18" s="584"/>
      <c r="M18" s="583"/>
      <c r="N18" s="584"/>
      <c r="O18" s="583"/>
      <c r="P18" s="584"/>
      <c r="Q18" s="583"/>
      <c r="R18" s="584"/>
      <c r="S18" s="583"/>
      <c r="T18" s="584"/>
      <c r="U18" s="374">
        <f t="shared" si="0"/>
        <v>0</v>
      </c>
      <c r="V18" s="375">
        <f t="shared" si="1"/>
        <v>0</v>
      </c>
      <c r="X18"/>
      <c r="Y18"/>
      <c r="Z18"/>
      <c r="AA18"/>
    </row>
    <row r="19" spans="1:27" ht="13.5" customHeight="1" thickTop="1" thickBot="1" x14ac:dyDescent="0.25">
      <c r="A19" s="252" t="s">
        <v>55</v>
      </c>
      <c r="B19" s="84"/>
      <c r="C19" s="367">
        <f t="shared" ref="C19:V19" si="2">SUM(C7:C18)</f>
        <v>5</v>
      </c>
      <c r="D19" s="366">
        <f t="shared" si="2"/>
        <v>0</v>
      </c>
      <c r="E19" s="367">
        <f t="shared" si="2"/>
        <v>0</v>
      </c>
      <c r="F19" s="366">
        <f t="shared" si="2"/>
        <v>0</v>
      </c>
      <c r="G19" s="367">
        <f t="shared" si="2"/>
        <v>0</v>
      </c>
      <c r="H19" s="366">
        <f t="shared" si="2"/>
        <v>0</v>
      </c>
      <c r="I19" s="367">
        <f t="shared" si="2"/>
        <v>3</v>
      </c>
      <c r="J19" s="366">
        <f t="shared" si="2"/>
        <v>1</v>
      </c>
      <c r="K19" s="367">
        <f t="shared" si="2"/>
        <v>0</v>
      </c>
      <c r="L19" s="432">
        <f t="shared" si="2"/>
        <v>0</v>
      </c>
      <c r="M19" s="367">
        <f t="shared" si="2"/>
        <v>0</v>
      </c>
      <c r="N19" s="366">
        <f t="shared" si="2"/>
        <v>0</v>
      </c>
      <c r="O19" s="367">
        <f t="shared" si="2"/>
        <v>0</v>
      </c>
      <c r="P19" s="366">
        <f t="shared" si="2"/>
        <v>0</v>
      </c>
      <c r="Q19" s="367">
        <f t="shared" si="2"/>
        <v>0</v>
      </c>
      <c r="R19" s="366">
        <f t="shared" si="2"/>
        <v>0</v>
      </c>
      <c r="S19" s="367">
        <f t="shared" si="2"/>
        <v>0</v>
      </c>
      <c r="T19" s="366">
        <f t="shared" si="2"/>
        <v>0</v>
      </c>
      <c r="U19" s="367">
        <f t="shared" si="2"/>
        <v>8</v>
      </c>
      <c r="V19" s="448">
        <f t="shared" si="2"/>
        <v>1</v>
      </c>
      <c r="X19"/>
      <c r="Y19"/>
      <c r="Z19"/>
      <c r="AA19"/>
    </row>
    <row r="20" spans="1:27" ht="18.75" customHeight="1" x14ac:dyDescent="0.2">
      <c r="A20" s="76" t="s">
        <v>82</v>
      </c>
    </row>
    <row r="21" spans="1:27" x14ac:dyDescent="0.2">
      <c r="A21" s="17"/>
      <c r="B21" s="2"/>
      <c r="C21" s="3"/>
      <c r="D21" s="3"/>
      <c r="E21" s="3"/>
      <c r="F21" s="3"/>
      <c r="G21" s="3"/>
      <c r="H21" s="3"/>
      <c r="I21" s="3"/>
      <c r="J21" s="3"/>
      <c r="K21" s="3"/>
      <c r="L21" s="3"/>
      <c r="M21" s="3"/>
      <c r="N21" s="3"/>
    </row>
    <row r="22" spans="1:27" x14ac:dyDescent="0.2">
      <c r="A22" s="17"/>
    </row>
  </sheetData>
  <sheetProtection password="DD41" sheet="1" formatColumns="0" selectLockedCells="1"/>
  <mergeCells count="22">
    <mergeCell ref="C5:D5"/>
    <mergeCell ref="E5:F5"/>
    <mergeCell ref="G5:H5"/>
    <mergeCell ref="Q5:R5"/>
    <mergeCell ref="K4:L4"/>
    <mergeCell ref="C4:D4"/>
    <mergeCell ref="E4:F4"/>
    <mergeCell ref="O5:P5"/>
    <mergeCell ref="I5:J5"/>
    <mergeCell ref="M5:N5"/>
    <mergeCell ref="K5:L5"/>
    <mergeCell ref="U5:V5"/>
    <mergeCell ref="O4:P4"/>
    <mergeCell ref="M4:N4"/>
    <mergeCell ref="U4:V4"/>
    <mergeCell ref="Q4:R4"/>
    <mergeCell ref="S5:T5"/>
    <mergeCell ref="A1:T1"/>
    <mergeCell ref="G4:H4"/>
    <mergeCell ref="O2:V2"/>
    <mergeCell ref="I4:J4"/>
    <mergeCell ref="S4:T4"/>
  </mergeCells>
  <phoneticPr fontId="30" type="noConversion"/>
  <conditionalFormatting sqref="Q7:R14">
    <cfRule type="expression" dxfId="25" priority="1" stopIfTrue="1">
      <formula>$W7&gt;0</formula>
    </cfRule>
  </conditionalFormatting>
  <printOptions horizontalCentered="1" verticalCentered="1"/>
  <pageMargins left="0" right="0" top="0.15748031496062992" bottom="0.15748031496062992" header="0.19685039370078741" footer="0.19685039370078741"/>
  <pageSetup paperSize="9" scale="7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3"/>
  <dimension ref="A1:W21"/>
  <sheetViews>
    <sheetView showGridLines="0" workbookViewId="0">
      <pane xSplit="2" ySplit="6" topLeftCell="C7" activePane="bottomRight" state="frozen"/>
      <selection activeCell="E11" sqref="E11"/>
      <selection pane="topRight" activeCell="E11" sqref="E11"/>
      <selection pane="bottomLeft" activeCell="E11" sqref="E11"/>
      <selection pane="bottomRight" activeCell="D17" sqref="D17"/>
    </sheetView>
  </sheetViews>
  <sheetFormatPr defaultColWidth="10.7109375" defaultRowHeight="10.199999999999999" x14ac:dyDescent="0.2"/>
  <cols>
    <col min="1" max="1" width="57.7109375" style="66" customWidth="1"/>
    <col min="2" max="2" width="10.7109375" style="65" customWidth="1"/>
    <col min="3" max="8" width="10.7109375" style="66" customWidth="1"/>
    <col min="9" max="12" width="11.140625" style="66" customWidth="1"/>
    <col min="13" max="20" width="10.28515625" style="66" customWidth="1"/>
    <col min="21" max="22" width="10.7109375" style="66" customWidth="1"/>
    <col min="23" max="23" width="5.7109375" style="66" hidden="1" customWidth="1"/>
    <col min="24" max="16384" width="10.7109375" style="66"/>
  </cols>
  <sheetData>
    <row r="1" spans="1:23" s="3" customFormat="1" ht="43.5" customHeight="1" x14ac:dyDescent="0.2">
      <c r="A1" s="1097" t="str">
        <f>'t1'!A1</f>
        <v>AFAM - anno 2023</v>
      </c>
      <c r="B1" s="1097"/>
      <c r="C1" s="1097"/>
      <c r="D1" s="1097"/>
      <c r="E1" s="1097"/>
      <c r="F1" s="1097"/>
      <c r="G1" s="1097"/>
      <c r="H1" s="1097"/>
      <c r="I1" s="1097"/>
      <c r="J1" s="1097"/>
      <c r="K1" s="1097"/>
      <c r="L1" s="1097"/>
      <c r="M1" s="1097"/>
      <c r="N1" s="1097"/>
      <c r="O1" s="1097"/>
      <c r="P1" s="1097"/>
      <c r="Q1" s="301"/>
      <c r="R1" s="301"/>
      <c r="S1" s="301"/>
      <c r="T1" s="301"/>
      <c r="V1" s="268"/>
      <c r="W1"/>
    </row>
    <row r="2" spans="1:23" ht="30" customHeight="1" thickBot="1" x14ac:dyDescent="0.25">
      <c r="A2" s="64"/>
      <c r="D2" s="67"/>
      <c r="E2" s="67"/>
      <c r="F2" s="67"/>
      <c r="J2" s="1129"/>
      <c r="K2" s="1129"/>
      <c r="L2" s="1129"/>
      <c r="M2" s="1129"/>
      <c r="N2" s="1129"/>
      <c r="O2" s="1129"/>
      <c r="P2" s="1129"/>
      <c r="Q2" s="1129"/>
      <c r="R2" s="1129"/>
      <c r="S2" s="1129"/>
      <c r="T2" s="1129"/>
      <c r="U2" s="1129"/>
      <c r="V2" s="1129"/>
    </row>
    <row r="3" spans="1:23" ht="15" customHeight="1" thickBot="1" x14ac:dyDescent="0.25">
      <c r="A3" s="68"/>
      <c r="B3" s="69"/>
      <c r="C3" s="70" t="s">
        <v>212</v>
      </c>
      <c r="D3" s="71"/>
      <c r="E3" s="71"/>
      <c r="F3" s="71"/>
      <c r="G3" s="71"/>
      <c r="H3" s="71"/>
      <c r="I3" s="71"/>
      <c r="J3" s="71"/>
      <c r="K3" s="71"/>
      <c r="L3" s="71"/>
      <c r="M3" s="71"/>
      <c r="N3" s="71"/>
      <c r="O3" s="71"/>
      <c r="P3" s="71"/>
      <c r="Q3" s="71"/>
      <c r="R3" s="71"/>
      <c r="S3" s="71"/>
      <c r="T3" s="71"/>
      <c r="U3" s="627"/>
      <c r="V3" s="628"/>
    </row>
    <row r="4" spans="1:23" ht="37.5" customHeight="1" thickTop="1" x14ac:dyDescent="0.2">
      <c r="A4" s="236" t="s">
        <v>107</v>
      </c>
      <c r="B4" s="72" t="s">
        <v>52</v>
      </c>
      <c r="C4" s="1149" t="s">
        <v>302</v>
      </c>
      <c r="D4" s="1131"/>
      <c r="E4" s="1149" t="s">
        <v>80</v>
      </c>
      <c r="F4" s="1131"/>
      <c r="G4" s="1149" t="s">
        <v>503</v>
      </c>
      <c r="H4" s="1150"/>
      <c r="I4" s="1157" t="s">
        <v>279</v>
      </c>
      <c r="J4" s="1158"/>
      <c r="K4" s="1149" t="s">
        <v>280</v>
      </c>
      <c r="L4" s="1150"/>
      <c r="M4" s="1149" t="s">
        <v>281</v>
      </c>
      <c r="N4" s="1150"/>
      <c r="O4" s="1157" t="s">
        <v>282</v>
      </c>
      <c r="P4" s="1159"/>
      <c r="Q4" s="1149" t="s">
        <v>654</v>
      </c>
      <c r="R4" s="1150"/>
      <c r="S4" s="1157" t="s">
        <v>655</v>
      </c>
      <c r="T4" s="1159"/>
      <c r="U4" s="1151" t="s">
        <v>55</v>
      </c>
      <c r="V4" s="1152"/>
    </row>
    <row r="5" spans="1:23" x14ac:dyDescent="0.2">
      <c r="A5" s="519"/>
      <c r="B5" s="72"/>
      <c r="C5" s="1155" t="s">
        <v>309</v>
      </c>
      <c r="D5" s="1156"/>
      <c r="E5" s="1155" t="s">
        <v>310</v>
      </c>
      <c r="F5" s="1156"/>
      <c r="G5" s="1155" t="s">
        <v>311</v>
      </c>
      <c r="H5" s="1156"/>
      <c r="I5" s="1155" t="s">
        <v>312</v>
      </c>
      <c r="J5" s="1156"/>
      <c r="K5" s="1155" t="s">
        <v>313</v>
      </c>
      <c r="L5" s="1156"/>
      <c r="M5" s="1155" t="s">
        <v>314</v>
      </c>
      <c r="N5" s="1156"/>
      <c r="O5" s="1155" t="s">
        <v>315</v>
      </c>
      <c r="P5" s="1156"/>
      <c r="Q5" s="1155" t="s">
        <v>486</v>
      </c>
      <c r="R5" s="1156"/>
      <c r="S5" s="1155" t="s">
        <v>577</v>
      </c>
      <c r="T5" s="1156"/>
      <c r="U5" s="1153"/>
      <c r="V5" s="1154"/>
    </row>
    <row r="6" spans="1:23" ht="10.8" thickBot="1" x14ac:dyDescent="0.25">
      <c r="A6" s="689" t="s">
        <v>518</v>
      </c>
      <c r="B6" s="73"/>
      <c r="C6" s="523" t="s">
        <v>53</v>
      </c>
      <c r="D6" s="524" t="s">
        <v>54</v>
      </c>
      <c r="E6" s="523" t="s">
        <v>53</v>
      </c>
      <c r="F6" s="524" t="s">
        <v>54</v>
      </c>
      <c r="G6" s="523" t="s">
        <v>53</v>
      </c>
      <c r="H6" s="524" t="s">
        <v>54</v>
      </c>
      <c r="I6" s="523" t="s">
        <v>53</v>
      </c>
      <c r="J6" s="524" t="s">
        <v>54</v>
      </c>
      <c r="K6" s="523" t="s">
        <v>53</v>
      </c>
      <c r="L6" s="524" t="s">
        <v>54</v>
      </c>
      <c r="M6" s="523" t="s">
        <v>53</v>
      </c>
      <c r="N6" s="524" t="s">
        <v>54</v>
      </c>
      <c r="O6" s="523" t="s">
        <v>53</v>
      </c>
      <c r="P6" s="524" t="s">
        <v>54</v>
      </c>
      <c r="Q6" s="523" t="s">
        <v>53</v>
      </c>
      <c r="R6" s="524" t="s">
        <v>54</v>
      </c>
      <c r="S6" s="523" t="s">
        <v>53</v>
      </c>
      <c r="T6" s="524" t="s">
        <v>54</v>
      </c>
      <c r="U6" s="523" t="s">
        <v>53</v>
      </c>
      <c r="V6" s="525" t="s">
        <v>54</v>
      </c>
    </row>
    <row r="7" spans="1:23" ht="12" customHeight="1" thickTop="1" x14ac:dyDescent="0.2">
      <c r="A7" s="16" t="str">
        <f>'t1'!A6</f>
        <v>PROFESSORI DI PRIMA FASCIA</v>
      </c>
      <c r="B7" s="197" t="str">
        <f>'t1'!B6</f>
        <v>018P01</v>
      </c>
      <c r="C7" s="567"/>
      <c r="D7" s="568"/>
      <c r="E7" s="567"/>
      <c r="F7" s="569"/>
      <c r="G7" s="567"/>
      <c r="H7" s="569"/>
      <c r="I7" s="567"/>
      <c r="J7" s="568"/>
      <c r="K7" s="569"/>
      <c r="L7" s="568"/>
      <c r="M7" s="569">
        <v>3</v>
      </c>
      <c r="N7" s="568">
        <v>2</v>
      </c>
      <c r="O7" s="570"/>
      <c r="P7" s="568"/>
      <c r="Q7" s="570"/>
      <c r="R7" s="488"/>
      <c r="S7" s="629"/>
      <c r="T7" s="488"/>
      <c r="U7" s="376">
        <f>SUM(C7,E7,G7,I7,K7,M7,O7,Q7,S7)</f>
        <v>3</v>
      </c>
      <c r="V7" s="377">
        <f>SUM(D7,F7,H7,J7,L7,N7,P7,R7,T7)</f>
        <v>2</v>
      </c>
      <c r="W7" s="66">
        <f>'t1'!M6</f>
        <v>89</v>
      </c>
    </row>
    <row r="8" spans="1:23" ht="12" customHeight="1" x14ac:dyDescent="0.2">
      <c r="A8" s="126" t="str">
        <f>'t1'!A7</f>
        <v>DIRETTORE AMMINISTRATIVO EP2</v>
      </c>
      <c r="B8" s="190" t="str">
        <f>'t1'!B7</f>
        <v>013504</v>
      </c>
      <c r="C8" s="571"/>
      <c r="D8" s="572"/>
      <c r="E8" s="571"/>
      <c r="F8" s="573"/>
      <c r="G8" s="571"/>
      <c r="H8" s="573"/>
      <c r="I8" s="571"/>
      <c r="J8" s="572"/>
      <c r="K8" s="573"/>
      <c r="L8" s="572"/>
      <c r="M8" s="573"/>
      <c r="N8" s="572"/>
      <c r="O8" s="574"/>
      <c r="P8" s="572"/>
      <c r="Q8" s="574"/>
      <c r="R8" s="631"/>
      <c r="S8" s="630"/>
      <c r="T8" s="631"/>
      <c r="U8" s="376">
        <f t="shared" ref="U8:U18" si="0">SUM(C8,E8,G8,I8,K8,M8,O8,Q8,S8)</f>
        <v>0</v>
      </c>
      <c r="V8" s="377">
        <f t="shared" ref="V8:V18" si="1">SUM(D8,F8,H8,J8,L8,N8,P8,R8,T8)</f>
        <v>0</v>
      </c>
      <c r="W8" s="66">
        <f>'t1'!M7</f>
        <v>0</v>
      </c>
    </row>
    <row r="9" spans="1:23" ht="12" customHeight="1" x14ac:dyDescent="0.2">
      <c r="A9" s="126" t="str">
        <f>'t1'!A8</f>
        <v>DIRETTORE DELL UFFICIO DI RAGIONERIA (EP1)</v>
      </c>
      <c r="B9" s="190" t="str">
        <f>'t1'!B8</f>
        <v>013159</v>
      </c>
      <c r="C9" s="571"/>
      <c r="D9" s="572"/>
      <c r="E9" s="571"/>
      <c r="F9" s="573"/>
      <c r="G9" s="571"/>
      <c r="H9" s="573"/>
      <c r="I9" s="571"/>
      <c r="J9" s="572"/>
      <c r="K9" s="573"/>
      <c r="L9" s="572"/>
      <c r="M9" s="573"/>
      <c r="N9" s="572"/>
      <c r="O9" s="574"/>
      <c r="P9" s="572"/>
      <c r="Q9" s="574"/>
      <c r="R9" s="631"/>
      <c r="S9" s="630"/>
      <c r="T9" s="631"/>
      <c r="U9" s="376">
        <f t="shared" si="0"/>
        <v>0</v>
      </c>
      <c r="V9" s="377">
        <f t="shared" si="1"/>
        <v>0</v>
      </c>
      <c r="W9" s="66">
        <f>'t1'!M8</f>
        <v>0</v>
      </c>
    </row>
    <row r="10" spans="1:23" ht="12" customHeight="1" x14ac:dyDescent="0.2">
      <c r="A10" s="126" t="str">
        <f>'t1'!A9</f>
        <v>COLLABORATORE AREA III</v>
      </c>
      <c r="B10" s="190" t="str">
        <f>'t1'!B9</f>
        <v>013CTE</v>
      </c>
      <c r="C10" s="571"/>
      <c r="D10" s="572"/>
      <c r="E10" s="571"/>
      <c r="F10" s="573"/>
      <c r="G10" s="571"/>
      <c r="H10" s="573"/>
      <c r="I10" s="571"/>
      <c r="J10" s="572"/>
      <c r="K10" s="573"/>
      <c r="L10" s="572"/>
      <c r="M10" s="573"/>
      <c r="N10" s="572"/>
      <c r="O10" s="574"/>
      <c r="P10" s="572"/>
      <c r="Q10" s="574"/>
      <c r="R10" s="631"/>
      <c r="S10" s="630"/>
      <c r="T10" s="631"/>
      <c r="U10" s="376">
        <f t="shared" si="0"/>
        <v>0</v>
      </c>
      <c r="V10" s="377">
        <f t="shared" si="1"/>
        <v>0</v>
      </c>
      <c r="W10" s="66">
        <f>'t1'!M9</f>
        <v>1</v>
      </c>
    </row>
    <row r="11" spans="1:23" ht="12" customHeight="1" x14ac:dyDescent="0.2">
      <c r="A11" s="126" t="str">
        <f>'t1'!A10</f>
        <v>ASSISTENTE AREA II</v>
      </c>
      <c r="B11" s="190" t="str">
        <f>'t1'!B10</f>
        <v>012117</v>
      </c>
      <c r="C11" s="571"/>
      <c r="D11" s="572"/>
      <c r="E11" s="571"/>
      <c r="F11" s="573"/>
      <c r="G11" s="571"/>
      <c r="H11" s="573"/>
      <c r="I11" s="571"/>
      <c r="J11" s="572"/>
      <c r="K11" s="573"/>
      <c r="L11" s="572"/>
      <c r="M11" s="573">
        <v>1</v>
      </c>
      <c r="N11" s="572"/>
      <c r="O11" s="574"/>
      <c r="P11" s="572"/>
      <c r="Q11" s="574"/>
      <c r="R11" s="631"/>
      <c r="S11" s="630"/>
      <c r="T11" s="631"/>
      <c r="U11" s="376">
        <f t="shared" si="0"/>
        <v>1</v>
      </c>
      <c r="V11" s="377">
        <f t="shared" si="1"/>
        <v>0</v>
      </c>
      <c r="W11" s="66">
        <f>'t1'!M10</f>
        <v>13</v>
      </c>
    </row>
    <row r="12" spans="1:23" ht="12" customHeight="1" x14ac:dyDescent="0.2">
      <c r="A12" s="126" t="str">
        <f>'t1'!A11</f>
        <v>COADIUTORE AREA I</v>
      </c>
      <c r="B12" s="190" t="str">
        <f>'t1'!B11</f>
        <v>011121</v>
      </c>
      <c r="C12" s="571"/>
      <c r="D12" s="572"/>
      <c r="E12" s="571"/>
      <c r="F12" s="573"/>
      <c r="G12" s="571"/>
      <c r="H12" s="573"/>
      <c r="I12" s="571"/>
      <c r="J12" s="572"/>
      <c r="K12" s="573"/>
      <c r="L12" s="572"/>
      <c r="M12" s="573"/>
      <c r="N12" s="572"/>
      <c r="O12" s="574"/>
      <c r="P12" s="572"/>
      <c r="Q12" s="574"/>
      <c r="R12" s="631"/>
      <c r="S12" s="630"/>
      <c r="T12" s="631"/>
      <c r="U12" s="376">
        <f t="shared" si="0"/>
        <v>0</v>
      </c>
      <c r="V12" s="377">
        <f t="shared" si="1"/>
        <v>0</v>
      </c>
      <c r="W12" s="66">
        <f>'t1'!M11</f>
        <v>14</v>
      </c>
    </row>
    <row r="13" spans="1:23" ht="12" customHeight="1" x14ac:dyDescent="0.2">
      <c r="A13" s="126" t="str">
        <f>'t1'!A12</f>
        <v>PROFESSORI DI PRIMA FASCIA TEMPO DET.ANNUALE</v>
      </c>
      <c r="B13" s="190" t="str">
        <f>'t1'!B12</f>
        <v>018PD1</v>
      </c>
      <c r="C13" s="571"/>
      <c r="D13" s="572"/>
      <c r="E13" s="571"/>
      <c r="F13" s="573"/>
      <c r="G13" s="571"/>
      <c r="H13" s="573"/>
      <c r="I13" s="571"/>
      <c r="J13" s="572"/>
      <c r="K13" s="573"/>
      <c r="L13" s="572"/>
      <c r="M13" s="573"/>
      <c r="N13" s="572"/>
      <c r="O13" s="574"/>
      <c r="P13" s="572"/>
      <c r="Q13" s="574"/>
      <c r="R13" s="631"/>
      <c r="S13" s="630"/>
      <c r="T13" s="631"/>
      <c r="U13" s="376">
        <f t="shared" si="0"/>
        <v>0</v>
      </c>
      <c r="V13" s="377">
        <f t="shared" si="1"/>
        <v>0</v>
      </c>
      <c r="W13" s="66">
        <f>'t1'!M12</f>
        <v>21</v>
      </c>
    </row>
    <row r="14" spans="1:23" ht="12" customHeight="1" x14ac:dyDescent="0.2">
      <c r="A14" s="126" t="str">
        <f>'t1'!A13</f>
        <v>DIRETTORE AMMINISTRATIVO TEMPO DET.ANNUALE (EP2)</v>
      </c>
      <c r="B14" s="190" t="str">
        <f>'t1'!B13</f>
        <v>013EP2</v>
      </c>
      <c r="C14" s="571"/>
      <c r="D14" s="572"/>
      <c r="E14" s="571"/>
      <c r="F14" s="573"/>
      <c r="G14" s="571"/>
      <c r="H14" s="573"/>
      <c r="I14" s="571"/>
      <c r="J14" s="572"/>
      <c r="K14" s="573"/>
      <c r="L14" s="572"/>
      <c r="M14" s="573"/>
      <c r="N14" s="572"/>
      <c r="O14" s="574"/>
      <c r="P14" s="572"/>
      <c r="Q14" s="574"/>
      <c r="R14" s="631"/>
      <c r="S14" s="630"/>
      <c r="T14" s="631"/>
      <c r="U14" s="376">
        <f t="shared" si="0"/>
        <v>0</v>
      </c>
      <c r="V14" s="377">
        <f t="shared" si="1"/>
        <v>0</v>
      </c>
      <c r="W14" s="66">
        <f>'t1'!M13</f>
        <v>1</v>
      </c>
    </row>
    <row r="15" spans="1:23" ht="12" customHeight="1" x14ac:dyDescent="0.2">
      <c r="A15" s="126" t="str">
        <f>'t1'!A14</f>
        <v>DIRETTORE DELL UFFICIO DI RAGIONERIA TEMPO DET.ANNUALE (EP1)</v>
      </c>
      <c r="B15" s="190" t="str">
        <f>'t1'!B14</f>
        <v>013160</v>
      </c>
      <c r="C15" s="583"/>
      <c r="D15" s="584"/>
      <c r="E15" s="583"/>
      <c r="F15" s="584"/>
      <c r="G15" s="583"/>
      <c r="H15" s="584"/>
      <c r="I15" s="583"/>
      <c r="J15" s="584"/>
      <c r="K15" s="583"/>
      <c r="L15" s="584"/>
      <c r="M15" s="583"/>
      <c r="N15" s="584"/>
      <c r="O15" s="583"/>
      <c r="P15" s="584"/>
      <c r="Q15" s="583"/>
      <c r="R15" s="584"/>
      <c r="S15" s="583"/>
      <c r="T15" s="584"/>
      <c r="U15" s="376">
        <f t="shared" si="0"/>
        <v>0</v>
      </c>
      <c r="V15" s="377">
        <f t="shared" si="1"/>
        <v>0</v>
      </c>
      <c r="W15" s="66">
        <f>'t1'!M14</f>
        <v>1</v>
      </c>
    </row>
    <row r="16" spans="1:23" ht="12" customHeight="1" x14ac:dyDescent="0.2">
      <c r="A16" s="126" t="str">
        <f>'t1'!A15</f>
        <v>COLLABORATORE AREA III TEMPO DET. ANNUALE</v>
      </c>
      <c r="B16" s="190" t="str">
        <f>'t1'!B15</f>
        <v>013CDE</v>
      </c>
      <c r="C16" s="583"/>
      <c r="D16" s="584"/>
      <c r="E16" s="583"/>
      <c r="F16" s="584"/>
      <c r="G16" s="583"/>
      <c r="H16" s="584"/>
      <c r="I16" s="583"/>
      <c r="J16" s="584"/>
      <c r="K16" s="583"/>
      <c r="L16" s="584"/>
      <c r="M16" s="583"/>
      <c r="N16" s="584"/>
      <c r="O16" s="583"/>
      <c r="P16" s="584"/>
      <c r="Q16" s="583"/>
      <c r="R16" s="584"/>
      <c r="S16" s="583"/>
      <c r="T16" s="584"/>
      <c r="U16" s="376">
        <f t="shared" si="0"/>
        <v>0</v>
      </c>
      <c r="V16" s="377">
        <f t="shared" si="1"/>
        <v>0</v>
      </c>
      <c r="W16" s="66">
        <f>'t1'!M15</f>
        <v>0</v>
      </c>
    </row>
    <row r="17" spans="1:23" ht="12" customHeight="1" x14ac:dyDescent="0.2">
      <c r="A17" s="126" t="str">
        <f>'t1'!A16</f>
        <v>ASSISTENTE AREA II TEMPO DET. ANNUALE</v>
      </c>
      <c r="B17" s="190" t="str">
        <f>'t1'!B16</f>
        <v>012118</v>
      </c>
      <c r="C17" s="583"/>
      <c r="D17" s="584"/>
      <c r="E17" s="583"/>
      <c r="F17" s="584"/>
      <c r="G17" s="583"/>
      <c r="H17" s="584"/>
      <c r="I17" s="583"/>
      <c r="J17" s="584"/>
      <c r="K17" s="583"/>
      <c r="L17" s="584"/>
      <c r="M17" s="583"/>
      <c r="N17" s="584"/>
      <c r="O17" s="583"/>
      <c r="P17" s="584"/>
      <c r="Q17" s="583"/>
      <c r="R17" s="584"/>
      <c r="S17" s="583"/>
      <c r="T17" s="584"/>
      <c r="U17" s="376">
        <f t="shared" si="0"/>
        <v>0</v>
      </c>
      <c r="V17" s="377">
        <f t="shared" si="1"/>
        <v>0</v>
      </c>
      <c r="W17" s="66">
        <f>'t1'!M16</f>
        <v>6</v>
      </c>
    </row>
    <row r="18" spans="1:23" ht="12" customHeight="1" thickBot="1" x14ac:dyDescent="0.25">
      <c r="A18" s="126" t="str">
        <f>'t1'!A17</f>
        <v>COADIUTORE AREA I TEMPO DET.ANNUALE</v>
      </c>
      <c r="B18" s="190" t="str">
        <f>'t1'!B17</f>
        <v>011124</v>
      </c>
      <c r="C18" s="583"/>
      <c r="D18" s="584"/>
      <c r="E18" s="583"/>
      <c r="F18" s="584"/>
      <c r="G18" s="583"/>
      <c r="H18" s="584"/>
      <c r="I18" s="583"/>
      <c r="J18" s="584"/>
      <c r="K18" s="583"/>
      <c r="L18" s="584"/>
      <c r="M18" s="583"/>
      <c r="N18" s="584"/>
      <c r="O18" s="583"/>
      <c r="P18" s="584"/>
      <c r="Q18" s="583"/>
      <c r="R18" s="584"/>
      <c r="S18" s="583"/>
      <c r="T18" s="584"/>
      <c r="U18" s="376">
        <f t="shared" si="0"/>
        <v>0</v>
      </c>
      <c r="V18" s="377">
        <f t="shared" si="1"/>
        <v>0</v>
      </c>
      <c r="W18" s="66">
        <f>'t1'!M17</f>
        <v>5</v>
      </c>
    </row>
    <row r="19" spans="1:23" ht="12.75" customHeight="1" thickTop="1" thickBot="1" x14ac:dyDescent="0.25">
      <c r="A19" s="74" t="s">
        <v>55</v>
      </c>
      <c r="B19" s="75"/>
      <c r="C19" s="378">
        <f t="shared" ref="C19:V19" si="2">SUM(C7:C18)</f>
        <v>0</v>
      </c>
      <c r="D19" s="380">
        <f t="shared" si="2"/>
        <v>0</v>
      </c>
      <c r="E19" s="449">
        <f t="shared" si="2"/>
        <v>0</v>
      </c>
      <c r="F19" s="380">
        <f t="shared" si="2"/>
        <v>0</v>
      </c>
      <c r="G19" s="449">
        <f t="shared" si="2"/>
        <v>0</v>
      </c>
      <c r="H19" s="380">
        <f t="shared" si="2"/>
        <v>0</v>
      </c>
      <c r="I19" s="449">
        <f t="shared" si="2"/>
        <v>0</v>
      </c>
      <c r="J19" s="380">
        <f t="shared" si="2"/>
        <v>0</v>
      </c>
      <c r="K19" s="449">
        <f t="shared" si="2"/>
        <v>0</v>
      </c>
      <c r="L19" s="380">
        <f t="shared" si="2"/>
        <v>0</v>
      </c>
      <c r="M19" s="449">
        <f t="shared" si="2"/>
        <v>4</v>
      </c>
      <c r="N19" s="380">
        <f t="shared" si="2"/>
        <v>2</v>
      </c>
      <c r="O19" s="449">
        <f t="shared" si="2"/>
        <v>0</v>
      </c>
      <c r="P19" s="380">
        <f t="shared" si="2"/>
        <v>0</v>
      </c>
      <c r="Q19" s="632">
        <f t="shared" si="2"/>
        <v>0</v>
      </c>
      <c r="R19" s="633">
        <f t="shared" si="2"/>
        <v>0</v>
      </c>
      <c r="S19" s="632">
        <f t="shared" si="2"/>
        <v>0</v>
      </c>
      <c r="T19" s="633">
        <f t="shared" si="2"/>
        <v>0</v>
      </c>
      <c r="U19" s="378">
        <f t="shared" si="2"/>
        <v>4</v>
      </c>
      <c r="V19" s="379">
        <f t="shared" si="2"/>
        <v>2</v>
      </c>
    </row>
    <row r="21" spans="1:23" x14ac:dyDescent="0.2">
      <c r="A21" s="66" t="s">
        <v>118</v>
      </c>
    </row>
  </sheetData>
  <sheetProtection formatColumns="0" selectLockedCells="1"/>
  <mergeCells count="22">
    <mergeCell ref="C5:D5"/>
    <mergeCell ref="O4:P4"/>
    <mergeCell ref="K5:L5"/>
    <mergeCell ref="S5:T5"/>
    <mergeCell ref="E5:F5"/>
    <mergeCell ref="Q5:R5"/>
    <mergeCell ref="S4:T4"/>
    <mergeCell ref="M4:N4"/>
    <mergeCell ref="M5:N5"/>
    <mergeCell ref="U5:V5"/>
    <mergeCell ref="G5:H5"/>
    <mergeCell ref="I5:J5"/>
    <mergeCell ref="O5:P5"/>
    <mergeCell ref="I4:J4"/>
    <mergeCell ref="Q4:R4"/>
    <mergeCell ref="A1:P1"/>
    <mergeCell ref="G4:H4"/>
    <mergeCell ref="C4:D4"/>
    <mergeCell ref="E4:F4"/>
    <mergeCell ref="J2:V2"/>
    <mergeCell ref="K4:L4"/>
    <mergeCell ref="U4:V4"/>
  </mergeCells>
  <phoneticPr fontId="30" type="noConversion"/>
  <conditionalFormatting sqref="A7:V14">
    <cfRule type="expression" dxfId="24" priority="3" stopIfTrue="1">
      <formula>$W7&gt;0</formula>
    </cfRule>
  </conditionalFormatting>
  <printOptions horizontalCentered="1" verticalCentered="1"/>
  <pageMargins left="0" right="0" top="0.19685039370078741" bottom="0.15748031496062992" header="0.15748031496062992" footer="0.15748031496062992"/>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37</vt:i4>
      </vt:variant>
      <vt:variant>
        <vt:lpstr>Intervalli denominati</vt:lpstr>
      </vt:variant>
      <vt:variant>
        <vt:i4>50</vt:i4>
      </vt:variant>
    </vt:vector>
  </HeadingPairs>
  <TitlesOfParts>
    <vt:vector size="87" baseType="lpstr">
      <vt:lpstr>SI_1</vt:lpstr>
      <vt:lpstr>t1</vt:lpstr>
      <vt:lpstr>1E</vt:lpstr>
      <vt:lpstr>t2</vt:lpstr>
      <vt:lpstr>t2A</vt:lpstr>
      <vt:lpstr>t3</vt:lpstr>
      <vt:lpstr>t4</vt:lpstr>
      <vt:lpstr>t5</vt:lpstr>
      <vt:lpstr>t6</vt:lpstr>
      <vt:lpstr>t7</vt:lpstr>
      <vt:lpstr>t8</vt:lpstr>
      <vt:lpstr>t9</vt:lpstr>
      <vt:lpstr>t11</vt:lpstr>
      <vt:lpstr>t12</vt:lpstr>
      <vt:lpstr>t13</vt:lpstr>
      <vt:lpstr>t14</vt:lpstr>
      <vt:lpstr>t15(1)</vt:lpstr>
      <vt:lpstr>SICI(1)</vt:lpstr>
      <vt:lpstr>Tabella Riconciliazione</vt:lpstr>
      <vt:lpstr>Valori Medi</vt:lpstr>
      <vt:lpstr>Squadratura 1</vt:lpstr>
      <vt:lpstr>Squadratura 2</vt:lpstr>
      <vt:lpstr>Squadratura 3</vt:lpstr>
      <vt:lpstr>Squadratura 4</vt:lpstr>
      <vt:lpstr>Squadratura 6</vt:lpstr>
      <vt:lpstr>Incongruenze 1 e 11</vt:lpstr>
      <vt:lpstr>Incongruenza 2</vt:lpstr>
      <vt:lpstr>Incongruenza 3</vt:lpstr>
      <vt:lpstr>Incongruenza 4 e controlli t14</vt:lpstr>
      <vt:lpstr>Incongruenza 5</vt:lpstr>
      <vt:lpstr>Incongruenza 6</vt:lpstr>
      <vt:lpstr>Incongruenza 7</vt:lpstr>
      <vt:lpstr>Incongruenza 8</vt:lpstr>
      <vt:lpstr>Incongruenza 10</vt:lpstr>
      <vt:lpstr>Incongruenze 12 e 13</vt:lpstr>
      <vt:lpstr>Incongruenza 14</vt:lpstr>
      <vt:lpstr>Incongruenza 15</vt:lpstr>
      <vt:lpstr>'1E'!Area_stampa</vt:lpstr>
      <vt:lpstr>'Incongruenza 15'!Area_stampa</vt:lpstr>
      <vt:lpstr>'Incongruenza 3'!Area_stampa</vt:lpstr>
      <vt:lpstr>'Incongruenze 1 e 11'!Area_stampa</vt:lpstr>
      <vt:lpstr>'Incongruenze 12 e 13'!Area_stampa</vt:lpstr>
      <vt:lpstr>SI_1!Area_stampa</vt:lpstr>
      <vt:lpstr>'SICI(1)'!Area_stampa</vt:lpstr>
      <vt:lpstr>'Squadratura 1'!Area_stampa</vt:lpstr>
      <vt:lpstr>'Squadratura 2'!Area_stampa</vt:lpstr>
      <vt:lpstr>'Squadratura 3'!Area_stampa</vt:lpstr>
      <vt:lpstr>'Squadratura 4'!Area_stampa</vt:lpstr>
      <vt:lpstr>'Squadratura 6'!Area_stampa</vt:lpstr>
      <vt:lpstr>'t1'!Area_stampa</vt:lpstr>
      <vt:lpstr>'t11'!Area_stampa</vt:lpstr>
      <vt:lpstr>'t12'!Area_stampa</vt:lpstr>
      <vt:lpstr>'t13'!Area_stampa</vt:lpstr>
      <vt:lpstr>'t14'!Area_stampa</vt:lpstr>
      <vt:lpstr>'t15(1)'!Area_stampa</vt:lpstr>
      <vt:lpstr>t2A!Area_stampa</vt:lpstr>
      <vt:lpstr>'t3'!Area_stampa</vt:lpstr>
      <vt:lpstr>'t5'!Area_stampa</vt:lpstr>
      <vt:lpstr>'t7'!Area_stampa</vt:lpstr>
      <vt:lpstr>'t8'!Area_stampa</vt:lpstr>
      <vt:lpstr>'t9'!Area_stampa</vt:lpstr>
      <vt:lpstr>'Valori Medi'!Area_stampa</vt:lpstr>
      <vt:lpstr>'1E'!Titoli_stampa</vt:lpstr>
      <vt:lpstr>'Incongruenza 2'!Titoli_stampa</vt:lpstr>
      <vt:lpstr>'Incongruenza 5'!Titoli_stampa</vt:lpstr>
      <vt:lpstr>'Incongruenza 6'!Titoli_stampa</vt:lpstr>
      <vt:lpstr>'Incongruenza 7'!Titoli_stampa</vt:lpstr>
      <vt:lpstr>'Incongruenza 8'!Titoli_stampa</vt:lpstr>
      <vt:lpstr>'Incongruenze 1 e 11'!Titoli_stampa</vt:lpstr>
      <vt:lpstr>'Incongruenze 12 e 13'!Titoli_stampa</vt:lpstr>
      <vt:lpstr>'Squadratura 1'!Titoli_stampa</vt:lpstr>
      <vt:lpstr>'Squadratura 2'!Titoli_stampa</vt:lpstr>
      <vt:lpstr>'Squadratura 3'!Titoli_stampa</vt:lpstr>
      <vt:lpstr>'Squadratura 4'!Titoli_stampa</vt:lpstr>
      <vt:lpstr>'t1'!Titoli_stampa</vt:lpstr>
      <vt:lpstr>'t11'!Titoli_stampa</vt:lpstr>
      <vt:lpstr>'t12'!Titoli_stampa</vt:lpstr>
      <vt:lpstr>'t13'!Titoli_stampa</vt:lpstr>
      <vt:lpstr>'t2'!Titoli_stampa</vt:lpstr>
      <vt:lpstr>'t3'!Titoli_stampa</vt:lpstr>
      <vt:lpstr>'t4'!Titoli_stampa</vt:lpstr>
      <vt:lpstr>'t5'!Titoli_stampa</vt:lpstr>
      <vt:lpstr>'t6'!Titoli_stampa</vt:lpstr>
      <vt:lpstr>'t7'!Titoli_stampa</vt:lpstr>
      <vt:lpstr>'t8'!Titoli_stampa</vt:lpstr>
      <vt:lpstr>'t9'!Titoli_stampa</vt:lpstr>
      <vt:lpstr>'Valori Medi'!Titoli_stampa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 G. O. P. DIV.  VI</dc:creator>
  <cp:lastModifiedBy>Filippo Terni</cp:lastModifiedBy>
  <cp:lastPrinted>2024-06-13T11:37:51Z</cp:lastPrinted>
  <dcterms:created xsi:type="dcterms:W3CDTF">1998-10-29T14:18:41Z</dcterms:created>
  <dcterms:modified xsi:type="dcterms:W3CDTF">2024-09-20T09:08:00Z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